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tiff" ContentType="image/tif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20490" windowHeight="7035" tabRatio="903"/>
  </bookViews>
  <sheets>
    <sheet name="Cover sheet" sheetId="28" r:id="rId1"/>
    <sheet name="graphs" sheetId="22" state="hidden" r:id="rId2"/>
    <sheet name="READ_ME" sheetId="32" r:id="rId3"/>
    <sheet name="TFP_Calcs" sheetId="12" r:id="rId4"/>
    <sheet name="TFP_dataset" sheetId="2" r:id="rId5"/>
    <sheet name="OPG hydro peers" sheetId="5" r:id="rId6"/>
    <sheet name="NA comb O&amp;M price indexes" sheetId="26" r:id="rId7"/>
    <sheet name="Can O&amp;M price indexes" sheetId="3" r:id="rId8"/>
    <sheet name="US O&amp;M price indexes" sheetId="24" r:id="rId9"/>
    <sheet name="EUCG L share" sheetId="23" r:id="rId10"/>
    <sheet name="StatsCan CANSIM tables" sheetId="4" r:id="rId11"/>
    <sheet name="US BLS &amp; BEA tables" sheetId="25" r:id="rId12"/>
  </sheets>
  <definedNames>
    <definedName name="_xlnm._FilterDatabase" localSheetId="3" hidden="1">TFP_Calcs!$B$5:$J$17</definedName>
    <definedName name="_xlnm._FilterDatabase" localSheetId="4" hidden="1">TFP_dataset!$B$4:$BJ$264</definedName>
    <definedName name="_xlnm.Print_Area" localSheetId="0">'Cover sheet'!$A$1:$M$22</definedName>
    <definedName name="_xlnm.Print_Area" localSheetId="2">READ_ME!$A$1:$P$40</definedName>
    <definedName name="_xlnm.Print_Area" localSheetId="3">TFP_Calcs!$A$1:$K$131</definedName>
    <definedName name="_xlnm.Print_Area" localSheetId="4">TFP_dataset!$A$1:$T$264</definedName>
    <definedName name="TableName">"Dummy"</definedName>
  </definedNames>
  <calcPr calcId="145621" calcMode="manual"/>
</workbook>
</file>

<file path=xl/calcChain.xml><?xml version="1.0" encoding="utf-8"?>
<calcChain xmlns="http://schemas.openxmlformats.org/spreadsheetml/2006/main">
  <c r="D252" i="2" l="1"/>
  <c r="B252" i="2"/>
  <c r="D239" i="2"/>
  <c r="B239" i="2"/>
  <c r="D226" i="2"/>
  <c r="D227" i="2" s="1"/>
  <c r="B226" i="2"/>
  <c r="D213" i="2"/>
  <c r="B213" i="2"/>
  <c r="D200" i="2"/>
  <c r="B200" i="2"/>
  <c r="D187" i="2"/>
  <c r="B187" i="2"/>
  <c r="D174" i="2"/>
  <c r="B174" i="2"/>
  <c r="D161" i="2"/>
  <c r="B161" i="2"/>
  <c r="D148" i="2"/>
  <c r="B148" i="2"/>
  <c r="D135" i="2"/>
  <c r="B135" i="2"/>
  <c r="D122" i="2"/>
  <c r="B122" i="2"/>
  <c r="D109" i="2"/>
  <c r="B109" i="2"/>
  <c r="D96" i="2"/>
  <c r="B96" i="2"/>
  <c r="D83" i="2"/>
  <c r="B83" i="2"/>
  <c r="D70" i="2"/>
  <c r="B70" i="2"/>
  <c r="D57" i="2"/>
  <c r="B57" i="2"/>
  <c r="D44" i="2"/>
  <c r="B44" i="2"/>
  <c r="D31" i="2"/>
  <c r="B31" i="2"/>
  <c r="D18" i="2"/>
  <c r="B18" i="2"/>
  <c r="B5" i="2"/>
  <c r="F251" i="2" l="1"/>
  <c r="F250" i="2"/>
  <c r="F249" i="2"/>
  <c r="F248" i="2"/>
  <c r="F247" i="2"/>
  <c r="F244" i="2"/>
  <c r="F243" i="2"/>
  <c r="F242" i="2"/>
  <c r="F241" i="2"/>
  <c r="F240" i="2"/>
  <c r="F239" i="2"/>
  <c r="O238" i="2"/>
  <c r="P238" i="2" s="1"/>
  <c r="Q238" i="2" s="1"/>
  <c r="M238" i="2"/>
  <c r="G238" i="2" s="1"/>
  <c r="O237" i="2"/>
  <c r="P237" i="2" s="1"/>
  <c r="Q237" i="2" s="1"/>
  <c r="M237" i="2"/>
  <c r="G237" i="2" s="1"/>
  <c r="O236" i="2"/>
  <c r="P236" i="2" s="1"/>
  <c r="Q236" i="2" s="1"/>
  <c r="G236" i="2"/>
  <c r="O235" i="2"/>
  <c r="P235" i="2" s="1"/>
  <c r="Q235" i="2" s="1"/>
  <c r="G235" i="2"/>
  <c r="O234" i="2"/>
  <c r="P234" i="2" s="1"/>
  <c r="Q234" i="2" s="1"/>
  <c r="G234" i="2"/>
  <c r="O233" i="2"/>
  <c r="P233" i="2" s="1"/>
  <c r="Q233" i="2" s="1"/>
  <c r="G233" i="2"/>
  <c r="O232" i="2"/>
  <c r="P232" i="2" s="1"/>
  <c r="Q232" i="2" s="1"/>
  <c r="G232" i="2"/>
  <c r="O231" i="2"/>
  <c r="P231" i="2" s="1"/>
  <c r="Q231" i="2" s="1"/>
  <c r="G231" i="2"/>
  <c r="O230" i="2"/>
  <c r="P230" i="2" s="1"/>
  <c r="Q230" i="2" s="1"/>
  <c r="G230" i="2"/>
  <c r="O229" i="2"/>
  <c r="P229" i="2" s="1"/>
  <c r="Q229" i="2" s="1"/>
  <c r="G229" i="2"/>
  <c r="O228" i="2"/>
  <c r="P228" i="2" s="1"/>
  <c r="Q228" i="2" s="1"/>
  <c r="G228" i="2"/>
  <c r="O227" i="2"/>
  <c r="P227" i="2" s="1"/>
  <c r="Q227" i="2" s="1"/>
  <c r="G227" i="2"/>
  <c r="O226" i="2"/>
  <c r="P226" i="2" s="1"/>
  <c r="Q226" i="2" s="1"/>
  <c r="G226" i="2"/>
  <c r="D228" i="2"/>
  <c r="D229" i="2" s="1"/>
  <c r="D230" i="2" s="1"/>
  <c r="D231" i="2" s="1"/>
  <c r="D232" i="2" s="1"/>
  <c r="D233" i="2" s="1"/>
  <c r="D234" i="2" s="1"/>
  <c r="D235" i="2" s="1"/>
  <c r="D236" i="2" s="1"/>
  <c r="D237" i="2" s="1"/>
  <c r="D238" i="2" s="1"/>
  <c r="B227" i="2"/>
  <c r="B228" i="2" s="1"/>
  <c r="B229" i="2" s="1"/>
  <c r="B230" i="2" s="1"/>
  <c r="B231" i="2" s="1"/>
  <c r="B232" i="2" s="1"/>
  <c r="B233" i="2" s="1"/>
  <c r="B234" i="2" s="1"/>
  <c r="B235" i="2" s="1"/>
  <c r="B236" i="2" s="1"/>
  <c r="B237" i="2" s="1"/>
  <c r="B238" i="2" s="1"/>
  <c r="O199" i="2"/>
  <c r="P199" i="2" s="1"/>
  <c r="Q199" i="2" s="1"/>
  <c r="G199" i="2"/>
  <c r="O198" i="2"/>
  <c r="P198" i="2" s="1"/>
  <c r="Q198" i="2" s="1"/>
  <c r="G198" i="2"/>
  <c r="O197" i="2"/>
  <c r="P197" i="2" s="1"/>
  <c r="Q197" i="2" s="1"/>
  <c r="G197" i="2"/>
  <c r="O196" i="2"/>
  <c r="P196" i="2" s="1"/>
  <c r="Q196" i="2" s="1"/>
  <c r="G196" i="2"/>
  <c r="O195" i="2"/>
  <c r="P195" i="2" s="1"/>
  <c r="Q195" i="2" s="1"/>
  <c r="G195" i="2"/>
  <c r="O194" i="2"/>
  <c r="P194" i="2" s="1"/>
  <c r="Q194" i="2" s="1"/>
  <c r="G194" i="2"/>
  <c r="O193" i="2"/>
  <c r="P193" i="2" s="1"/>
  <c r="Q193" i="2" s="1"/>
  <c r="G193" i="2"/>
  <c r="O192" i="2"/>
  <c r="P192" i="2" s="1"/>
  <c r="Q192" i="2" s="1"/>
  <c r="G192" i="2"/>
  <c r="O191" i="2"/>
  <c r="P191" i="2" s="1"/>
  <c r="Q191" i="2" s="1"/>
  <c r="G191" i="2"/>
  <c r="O190" i="2"/>
  <c r="P190" i="2" s="1"/>
  <c r="Q190" i="2" s="1"/>
  <c r="G190" i="2"/>
  <c r="O189" i="2"/>
  <c r="P189" i="2" s="1"/>
  <c r="Q189" i="2" s="1"/>
  <c r="G189" i="2"/>
  <c r="O188" i="2"/>
  <c r="P188" i="2" s="1"/>
  <c r="Q188" i="2" s="1"/>
  <c r="G188" i="2"/>
  <c r="O187" i="2"/>
  <c r="P187" i="2" s="1"/>
  <c r="Q187" i="2" s="1"/>
  <c r="G187" i="2"/>
  <c r="D188" i="2"/>
  <c r="D189" i="2" s="1"/>
  <c r="D190" i="2" s="1"/>
  <c r="D191" i="2" s="1"/>
  <c r="D192" i="2" s="1"/>
  <c r="D193" i="2" s="1"/>
  <c r="D194" i="2" s="1"/>
  <c r="D195" i="2" s="1"/>
  <c r="D196" i="2" s="1"/>
  <c r="D197" i="2" s="1"/>
  <c r="D198" i="2" s="1"/>
  <c r="D199" i="2" s="1"/>
  <c r="B188" i="2"/>
  <c r="B189" i="2" s="1"/>
  <c r="B190" i="2" s="1"/>
  <c r="B191" i="2" s="1"/>
  <c r="B192" i="2" s="1"/>
  <c r="B193" i="2" s="1"/>
  <c r="B194" i="2" s="1"/>
  <c r="B195" i="2" s="1"/>
  <c r="B196" i="2" s="1"/>
  <c r="B197" i="2" s="1"/>
  <c r="B198" i="2" s="1"/>
  <c r="B199" i="2" s="1"/>
  <c r="R227" i="2" l="1"/>
  <c r="R232" i="2"/>
  <c r="R235" i="2"/>
  <c r="R237" i="2"/>
  <c r="S237" i="2" s="1"/>
  <c r="R230" i="2"/>
  <c r="S230" i="2" s="1"/>
  <c r="R233" i="2"/>
  <c r="S233" i="2" s="1"/>
  <c r="R226" i="2"/>
  <c r="S226" i="2" s="1"/>
  <c r="R229" i="2"/>
  <c r="S229" i="2" s="1"/>
  <c r="R234" i="2"/>
  <c r="S234" i="2" s="1"/>
  <c r="R228" i="2"/>
  <c r="R231" i="2"/>
  <c r="R236" i="2"/>
  <c r="S236" i="2" s="1"/>
  <c r="R238" i="2"/>
  <c r="R187" i="2"/>
  <c r="R190" i="2"/>
  <c r="S190" i="2" s="1"/>
  <c r="R195" i="2"/>
  <c r="R198" i="2"/>
  <c r="S198" i="2" s="1"/>
  <c r="R189" i="2"/>
  <c r="S189" i="2" s="1"/>
  <c r="R192" i="2"/>
  <c r="S192" i="2" s="1"/>
  <c r="R197" i="2"/>
  <c r="S197" i="2" s="1"/>
  <c r="R188" i="2"/>
  <c r="S188" i="2" s="1"/>
  <c r="R193" i="2"/>
  <c r="S193" i="2" s="1"/>
  <c r="R196" i="2"/>
  <c r="S196" i="2" s="1"/>
  <c r="R191" i="2"/>
  <c r="S191" i="2" s="1"/>
  <c r="R194" i="2"/>
  <c r="S194" i="2" s="1"/>
  <c r="R199" i="2"/>
  <c r="S199" i="2" s="1"/>
  <c r="S228" i="2" l="1"/>
  <c r="T228" i="2" s="1"/>
  <c r="T233" i="2"/>
  <c r="S232" i="2"/>
  <c r="T232" i="2" s="1"/>
  <c r="T236" i="2"/>
  <c r="T229" i="2"/>
  <c r="T237" i="2"/>
  <c r="S238" i="2"/>
  <c r="T238" i="2" s="1"/>
  <c r="S231" i="2"/>
  <c r="T231" i="2" s="1"/>
  <c r="T234" i="2"/>
  <c r="T226" i="2"/>
  <c r="T230" i="2"/>
  <c r="S235" i="2"/>
  <c r="T235" i="2" s="1"/>
  <c r="S227" i="2"/>
  <c r="T227" i="2" s="1"/>
  <c r="T196" i="2"/>
  <c r="T192" i="2"/>
  <c r="T188" i="2"/>
  <c r="T190" i="2"/>
  <c r="T199" i="2"/>
  <c r="T191" i="2"/>
  <c r="T194" i="2"/>
  <c r="T198" i="2"/>
  <c r="T193" i="2"/>
  <c r="T197" i="2"/>
  <c r="T189" i="2"/>
  <c r="S195" i="2"/>
  <c r="T195" i="2" s="1"/>
  <c r="S187" i="2"/>
  <c r="T187" i="2" s="1"/>
  <c r="O96" i="2" l="1"/>
  <c r="G117" i="12" l="1"/>
  <c r="E117" i="12"/>
  <c r="D17" i="23" l="1"/>
  <c r="E17" i="23"/>
  <c r="F17" i="23"/>
  <c r="G17" i="23"/>
  <c r="C17" i="23"/>
  <c r="N239" i="2" l="1"/>
  <c r="N252" i="2" s="1"/>
  <c r="N250" i="2"/>
  <c r="N240" i="2"/>
  <c r="N241" i="2"/>
  <c r="N242" i="2"/>
  <c r="N243" i="2"/>
  <c r="N244" i="2"/>
  <c r="N245" i="2"/>
  <c r="N246" i="2"/>
  <c r="N247" i="2"/>
  <c r="N248" i="2"/>
  <c r="N249" i="2"/>
  <c r="M240" i="2"/>
  <c r="M241" i="2"/>
  <c r="M242" i="2"/>
  <c r="M243" i="2"/>
  <c r="M244" i="2"/>
  <c r="M245" i="2"/>
  <c r="M246" i="2"/>
  <c r="M247" i="2"/>
  <c r="M248" i="2"/>
  <c r="M249" i="2"/>
  <c r="F252" i="2"/>
  <c r="F253" i="2"/>
  <c r="F254" i="2"/>
  <c r="F255" i="2"/>
  <c r="F256" i="2"/>
  <c r="F257" i="2"/>
  <c r="F260" i="2"/>
  <c r="F261" i="2"/>
  <c r="F262" i="2"/>
  <c r="F263" i="2"/>
  <c r="F264" i="2"/>
  <c r="C32" i="23" l="1"/>
  <c r="D32" i="23"/>
  <c r="N251" i="2"/>
  <c r="E34" i="23" l="1"/>
  <c r="D33" i="23"/>
  <c r="D34" i="23" s="1"/>
  <c r="C33" i="23"/>
  <c r="C34" i="23" s="1"/>
  <c r="D123" i="4"/>
  <c r="D124"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91" i="4"/>
  <c r="C123" i="4"/>
  <c r="G26" i="3" s="1"/>
  <c r="C124" i="4"/>
  <c r="G27" i="3" s="1"/>
  <c r="C95" i="4"/>
  <c r="C96" i="4"/>
  <c r="C97" i="4"/>
  <c r="C98" i="4"/>
  <c r="C99" i="4"/>
  <c r="C100" i="4"/>
  <c r="C101" i="4"/>
  <c r="C102" i="4"/>
  <c r="C103" i="4"/>
  <c r="C104" i="4"/>
  <c r="C105" i="4"/>
  <c r="C106" i="4"/>
  <c r="C107" i="4"/>
  <c r="C108" i="4"/>
  <c r="C109" i="4"/>
  <c r="C110" i="4"/>
  <c r="C111" i="4"/>
  <c r="C112" i="4"/>
  <c r="C113" i="4"/>
  <c r="G16" i="3" s="1"/>
  <c r="C114" i="4"/>
  <c r="G17" i="3" s="1"/>
  <c r="C115" i="4"/>
  <c r="G18" i="3" s="1"/>
  <c r="C116" i="4"/>
  <c r="G19" i="3" s="1"/>
  <c r="C117" i="4"/>
  <c r="G20" i="3" s="1"/>
  <c r="C118" i="4"/>
  <c r="G21" i="3" s="1"/>
  <c r="C119" i="4"/>
  <c r="G22" i="3" s="1"/>
  <c r="C120" i="4"/>
  <c r="G23" i="3" s="1"/>
  <c r="C121" i="4"/>
  <c r="G24" i="3" s="1"/>
  <c r="C122" i="4"/>
  <c r="G25" i="3" s="1"/>
  <c r="C92" i="4"/>
  <c r="C93" i="4"/>
  <c r="C94" i="4"/>
  <c r="C91" i="4"/>
  <c r="M23" i="4"/>
  <c r="N23" i="4"/>
  <c r="O23" i="4"/>
  <c r="O18" i="4"/>
  <c r="N18" i="4"/>
  <c r="AF86" i="4"/>
  <c r="AG86" i="4"/>
  <c r="AH86" i="4"/>
  <c r="AI86" i="4"/>
  <c r="AE86" i="4"/>
  <c r="AH80" i="4"/>
  <c r="AI80" i="4"/>
  <c r="AG80" i="4"/>
  <c r="AF80" i="4"/>
  <c r="C38" i="4"/>
  <c r="C26" i="3" s="1"/>
  <c r="D38" i="4"/>
  <c r="C39" i="4"/>
  <c r="D39" i="4"/>
  <c r="C27" i="4"/>
  <c r="D27" i="4"/>
  <c r="C28" i="4"/>
  <c r="D28" i="4"/>
  <c r="C29" i="4"/>
  <c r="C17" i="3" s="1"/>
  <c r="D29" i="4"/>
  <c r="C30" i="4"/>
  <c r="D30" i="4"/>
  <c r="C31" i="4"/>
  <c r="D31" i="4"/>
  <c r="C32" i="4"/>
  <c r="D32" i="4"/>
  <c r="C33" i="4"/>
  <c r="C21" i="3" s="1"/>
  <c r="D33" i="4"/>
  <c r="C34" i="4"/>
  <c r="D34" i="4"/>
  <c r="C35" i="4"/>
  <c r="D35" i="4"/>
  <c r="C36" i="4"/>
  <c r="C24" i="3" s="1"/>
  <c r="D36" i="4"/>
  <c r="C37" i="4"/>
  <c r="C25" i="3" s="1"/>
  <c r="D37" i="4"/>
  <c r="D26" i="4"/>
  <c r="C26" i="4"/>
  <c r="R27" i="3"/>
  <c r="R26" i="3"/>
  <c r="C16" i="3"/>
  <c r="C18" i="3"/>
  <c r="C19" i="3"/>
  <c r="C20" i="3"/>
  <c r="C22" i="3"/>
  <c r="C23" i="3"/>
  <c r="C27" i="3"/>
  <c r="C15" i="3"/>
  <c r="AJ86" i="4" l="1"/>
  <c r="AJ80" i="4"/>
  <c r="G18" i="25"/>
  <c r="G19" i="25"/>
  <c r="G20" i="25"/>
  <c r="G21" i="25"/>
  <c r="G22" i="25"/>
  <c r="G23" i="25"/>
  <c r="G24" i="25"/>
  <c r="G25" i="25"/>
  <c r="G26" i="25"/>
  <c r="G27" i="25"/>
  <c r="G28" i="25"/>
  <c r="G29" i="25"/>
  <c r="G30" i="25"/>
  <c r="G31" i="25"/>
  <c r="G17" i="25"/>
  <c r="H30" i="25" l="1"/>
  <c r="H29" i="25"/>
  <c r="C25" i="24"/>
  <c r="E25" i="24"/>
  <c r="C26" i="24"/>
  <c r="E26" i="24"/>
  <c r="Q26" i="3"/>
  <c r="Q27" i="3"/>
  <c r="E26" i="3"/>
  <c r="D27" i="3"/>
  <c r="E27" i="3"/>
  <c r="H27" i="3"/>
  <c r="T29" i="26" s="1"/>
  <c r="W28" i="26"/>
  <c r="W29" i="26"/>
  <c r="R28" i="26"/>
  <c r="R29" i="26"/>
  <c r="M28" i="26"/>
  <c r="M29" i="26"/>
  <c r="H28" i="26"/>
  <c r="H29" i="26"/>
  <c r="N253" i="2"/>
  <c r="N254" i="2"/>
  <c r="N255" i="2"/>
  <c r="N256" i="2"/>
  <c r="N257" i="2"/>
  <c r="N258" i="2"/>
  <c r="N259" i="2"/>
  <c r="N260" i="2"/>
  <c r="N261" i="2"/>
  <c r="N262" i="2"/>
  <c r="M251" i="2"/>
  <c r="M250" i="2"/>
  <c r="F27" i="3" l="1"/>
  <c r="S29" i="26"/>
  <c r="S27" i="3"/>
  <c r="N263" i="2"/>
  <c r="N264" i="2"/>
  <c r="F26" i="24"/>
  <c r="Y29" i="26" s="1"/>
  <c r="D26" i="24"/>
  <c r="X29" i="26" s="1"/>
  <c r="C5" i="5" l="1"/>
  <c r="C6" i="5" s="1"/>
  <c r="C7" i="5" s="1"/>
  <c r="C8" i="5" s="1"/>
  <c r="C9" i="5" s="1"/>
  <c r="C10" i="5" s="1"/>
  <c r="C11" i="5" s="1"/>
  <c r="C12" i="5" s="1"/>
  <c r="C13" i="5" s="1"/>
  <c r="C14" i="5" s="1"/>
  <c r="C15" i="5" s="1"/>
  <c r="C16" i="5" s="1"/>
  <c r="C17" i="5" s="1"/>
  <c r="C18" i="5" s="1"/>
  <c r="C19" i="5" s="1"/>
  <c r="C20" i="5" s="1"/>
  <c r="C21" i="5" s="1"/>
  <c r="C22" i="5" s="1"/>
  <c r="C23" i="5" s="1"/>
  <c r="G211" i="2" l="1"/>
  <c r="G212" i="2"/>
  <c r="G185" i="2"/>
  <c r="G186" i="2"/>
  <c r="G172" i="2"/>
  <c r="G173" i="2"/>
  <c r="G159" i="2"/>
  <c r="G160" i="2"/>
  <c r="G146" i="2"/>
  <c r="G147" i="2"/>
  <c r="G133" i="2"/>
  <c r="G134" i="2"/>
  <c r="G120" i="2"/>
  <c r="G121" i="2"/>
  <c r="G107" i="2"/>
  <c r="G108" i="2"/>
  <c r="G94" i="2"/>
  <c r="G95" i="2"/>
  <c r="G81" i="2"/>
  <c r="G82" i="2"/>
  <c r="G68" i="2"/>
  <c r="G69" i="2"/>
  <c r="G55" i="2"/>
  <c r="G56" i="2"/>
  <c r="G42" i="2"/>
  <c r="G43" i="2"/>
  <c r="G29" i="2"/>
  <c r="G30" i="2"/>
  <c r="G16" i="2"/>
  <c r="G17" i="2"/>
  <c r="O29" i="2"/>
  <c r="P29" i="2" s="1"/>
  <c r="Q29" i="2" s="1"/>
  <c r="O30" i="2"/>
  <c r="P30" i="2" s="1"/>
  <c r="Q30" i="2" s="1"/>
  <c r="O42" i="2"/>
  <c r="P42" i="2" s="1"/>
  <c r="Q42" i="2" s="1"/>
  <c r="O43" i="2"/>
  <c r="P43" i="2" s="1"/>
  <c r="Q43" i="2" s="1"/>
  <c r="R43" i="2" s="1"/>
  <c r="O55" i="2"/>
  <c r="P55" i="2" s="1"/>
  <c r="Q55" i="2" s="1"/>
  <c r="O56" i="2"/>
  <c r="P56" i="2" s="1"/>
  <c r="Q56" i="2" s="1"/>
  <c r="O68" i="2"/>
  <c r="P68" i="2" s="1"/>
  <c r="Q68" i="2" s="1"/>
  <c r="O69" i="2"/>
  <c r="P69" i="2" s="1"/>
  <c r="Q69" i="2" s="1"/>
  <c r="O81" i="2"/>
  <c r="P81" i="2" s="1"/>
  <c r="Q81" i="2" s="1"/>
  <c r="O82" i="2"/>
  <c r="P82" i="2" s="1"/>
  <c r="Q82" i="2" s="1"/>
  <c r="O94" i="2"/>
  <c r="P94" i="2" s="1"/>
  <c r="Q94" i="2" s="1"/>
  <c r="O95" i="2"/>
  <c r="P95" i="2" s="1"/>
  <c r="Q95" i="2" s="1"/>
  <c r="O107" i="2"/>
  <c r="P107" i="2" s="1"/>
  <c r="Q107" i="2" s="1"/>
  <c r="O108" i="2"/>
  <c r="P108" i="2" s="1"/>
  <c r="Q108" i="2" s="1"/>
  <c r="O120" i="2"/>
  <c r="P120" i="2" s="1"/>
  <c r="Q120" i="2" s="1"/>
  <c r="O121" i="2"/>
  <c r="P121" i="2" s="1"/>
  <c r="Q121" i="2" s="1"/>
  <c r="O133" i="2"/>
  <c r="P133" i="2" s="1"/>
  <c r="Q133" i="2" s="1"/>
  <c r="O134" i="2"/>
  <c r="P134" i="2" s="1"/>
  <c r="Q134" i="2" s="1"/>
  <c r="O146" i="2"/>
  <c r="P146" i="2" s="1"/>
  <c r="Q146" i="2" s="1"/>
  <c r="O147" i="2"/>
  <c r="P147" i="2" s="1"/>
  <c r="Q147" i="2" s="1"/>
  <c r="O159" i="2"/>
  <c r="P159" i="2" s="1"/>
  <c r="Q159" i="2" s="1"/>
  <c r="O160" i="2"/>
  <c r="P160" i="2" s="1"/>
  <c r="Q160" i="2" s="1"/>
  <c r="O172" i="2"/>
  <c r="P172" i="2" s="1"/>
  <c r="Q172" i="2" s="1"/>
  <c r="O173" i="2"/>
  <c r="O185" i="2"/>
  <c r="P185" i="2" s="1"/>
  <c r="Q185" i="2" s="1"/>
  <c r="R185" i="2" s="1"/>
  <c r="O186" i="2"/>
  <c r="P186" i="2" s="1"/>
  <c r="Q186" i="2" s="1"/>
  <c r="O211" i="2"/>
  <c r="P211" i="2" s="1"/>
  <c r="Q211" i="2" s="1"/>
  <c r="O212" i="2"/>
  <c r="P212" i="2" s="1"/>
  <c r="Q212" i="2" s="1"/>
  <c r="O224" i="2"/>
  <c r="P224" i="2" s="1"/>
  <c r="Q224" i="2" s="1"/>
  <c r="O225" i="2"/>
  <c r="P225" i="2" s="1"/>
  <c r="Q225" i="2" s="1"/>
  <c r="G251" i="2"/>
  <c r="G225" i="2"/>
  <c r="G224" i="2"/>
  <c r="G250" i="2" l="1"/>
  <c r="M264" i="2"/>
  <c r="G264" i="2" s="1"/>
  <c r="M263" i="2"/>
  <c r="G263" i="2" s="1"/>
  <c r="R108" i="2"/>
  <c r="S108" i="2" s="1"/>
  <c r="T108" i="2" s="1"/>
  <c r="R29" i="2"/>
  <c r="S29" i="2" s="1"/>
  <c r="R30" i="2"/>
  <c r="S30" i="2" s="1"/>
  <c r="S43" i="2"/>
  <c r="T43" i="2" s="1"/>
  <c r="R42" i="2"/>
  <c r="S42" i="2" s="1"/>
  <c r="R56" i="2"/>
  <c r="R55" i="2"/>
  <c r="R69" i="2"/>
  <c r="S69" i="2" s="1"/>
  <c r="R68" i="2"/>
  <c r="S68" i="2" s="1"/>
  <c r="R82" i="2"/>
  <c r="S82" i="2" s="1"/>
  <c r="R81" i="2"/>
  <c r="S81" i="2" s="1"/>
  <c r="R95" i="2"/>
  <c r="S95" i="2" s="1"/>
  <c r="R94" i="2"/>
  <c r="R107" i="2"/>
  <c r="R121" i="2"/>
  <c r="S121" i="2" s="1"/>
  <c r="R120" i="2"/>
  <c r="R134" i="2"/>
  <c r="R133" i="2"/>
  <c r="R147" i="2"/>
  <c r="S147" i="2" s="1"/>
  <c r="R146" i="2"/>
  <c r="S185" i="2"/>
  <c r="T185" i="2" s="1"/>
  <c r="R172" i="2"/>
  <c r="S172" i="2" s="1"/>
  <c r="R160" i="2"/>
  <c r="R159" i="2"/>
  <c r="S159" i="2" s="1"/>
  <c r="R186" i="2"/>
  <c r="S186" i="2" s="1"/>
  <c r="R212" i="2"/>
  <c r="S212" i="2" s="1"/>
  <c r="R211" i="2"/>
  <c r="R225" i="2"/>
  <c r="R224" i="2"/>
  <c r="S224" i="2" s="1"/>
  <c r="T30" i="2" l="1"/>
  <c r="T29" i="2"/>
  <c r="T42" i="2"/>
  <c r="S55" i="2"/>
  <c r="T55" i="2" s="1"/>
  <c r="S56" i="2"/>
  <c r="T56" i="2" s="1"/>
  <c r="T69" i="2"/>
  <c r="T68" i="2"/>
  <c r="T82" i="2"/>
  <c r="T81" i="2"/>
  <c r="S94" i="2"/>
  <c r="T94" i="2" s="1"/>
  <c r="T95" i="2"/>
  <c r="S107" i="2"/>
  <c r="T107" i="2" s="1"/>
  <c r="S120" i="2"/>
  <c r="T120" i="2" s="1"/>
  <c r="T121" i="2"/>
  <c r="S133" i="2"/>
  <c r="T133" i="2" s="1"/>
  <c r="S134" i="2"/>
  <c r="T134" i="2" s="1"/>
  <c r="S146" i="2"/>
  <c r="T146" i="2" s="1"/>
  <c r="T147" i="2"/>
  <c r="T172" i="2"/>
  <c r="S160" i="2"/>
  <c r="T160" i="2" s="1"/>
  <c r="T159" i="2"/>
  <c r="T186" i="2"/>
  <c r="S211" i="2"/>
  <c r="T211" i="2" s="1"/>
  <c r="T212" i="2"/>
  <c r="T224" i="2"/>
  <c r="S225" i="2"/>
  <c r="T225" i="2" s="1"/>
  <c r="B240" i="2" l="1"/>
  <c r="B241" i="2" s="1"/>
  <c r="B242" i="2" s="1"/>
  <c r="B243" i="2" s="1"/>
  <c r="B244" i="2" s="1"/>
  <c r="B245" i="2" s="1"/>
  <c r="B246" i="2" s="1"/>
  <c r="B247" i="2" s="1"/>
  <c r="B248" i="2" s="1"/>
  <c r="B249" i="2" s="1"/>
  <c r="B250" i="2" s="1"/>
  <c r="B251" i="2" s="1"/>
  <c r="G247" i="2" l="1"/>
  <c r="G240" i="2"/>
  <c r="G242" i="2"/>
  <c r="G241" i="2"/>
  <c r="G249" i="2"/>
  <c r="G244" i="2"/>
  <c r="G243" i="2"/>
  <c r="G248" i="2"/>
  <c r="D240" i="2" l="1"/>
  <c r="D241" i="2" s="1"/>
  <c r="D242" i="2" s="1"/>
  <c r="D243" i="2" s="1"/>
  <c r="D244" i="2" s="1"/>
  <c r="D245" i="2" s="1"/>
  <c r="D246" i="2" s="1"/>
  <c r="D247" i="2" s="1"/>
  <c r="D248" i="2" s="1"/>
  <c r="D249" i="2" s="1"/>
  <c r="D250" i="2" s="1"/>
  <c r="D251" i="2" s="1"/>
  <c r="H18" i="25"/>
  <c r="H19" i="25"/>
  <c r="H20" i="25"/>
  <c r="H21" i="25"/>
  <c r="H22" i="25"/>
  <c r="H23" i="25"/>
  <c r="H24" i="25"/>
  <c r="H25" i="25"/>
  <c r="H26" i="25"/>
  <c r="H27" i="25"/>
  <c r="H28" i="25"/>
  <c r="H32" i="25" l="1"/>
  <c r="I2" i="12"/>
  <c r="B118" i="12"/>
  <c r="B119" i="12" s="1"/>
  <c r="B120" i="12" s="1"/>
  <c r="B121" i="12" s="1"/>
  <c r="B122" i="12" s="1"/>
  <c r="B123" i="12" s="1"/>
  <c r="B124" i="12" s="1"/>
  <c r="B125" i="12" s="1"/>
  <c r="B126" i="12" s="1"/>
  <c r="B127" i="12" s="1"/>
  <c r="B128" i="12" s="1"/>
  <c r="B129" i="12" s="1"/>
  <c r="F11" i="2" l="1"/>
  <c r="F245" i="2" s="1"/>
  <c r="F12" i="2"/>
  <c r="F246" i="2" s="1"/>
  <c r="F258" i="2" l="1"/>
  <c r="F259" i="2"/>
  <c r="C18" i="24"/>
  <c r="F1" i="24"/>
  <c r="G245" i="2" l="1"/>
  <c r="G246" i="2"/>
  <c r="D86" i="4"/>
  <c r="E86" i="4"/>
  <c r="F86" i="4"/>
  <c r="G86" i="4"/>
  <c r="H86" i="4"/>
  <c r="I86" i="4"/>
  <c r="J86" i="4"/>
  <c r="K86" i="4"/>
  <c r="L86" i="4"/>
  <c r="M86" i="4"/>
  <c r="N86" i="4"/>
  <c r="O86" i="4"/>
  <c r="P86" i="4"/>
  <c r="Q86" i="4"/>
  <c r="R86" i="4"/>
  <c r="S86" i="4"/>
  <c r="T86" i="4"/>
  <c r="U86" i="4"/>
  <c r="V86" i="4"/>
  <c r="W86" i="4"/>
  <c r="X86" i="4"/>
  <c r="Y86" i="4"/>
  <c r="Z86" i="4"/>
  <c r="AA86" i="4"/>
  <c r="AB86" i="4"/>
  <c r="AC86" i="4"/>
  <c r="AD86" i="4"/>
  <c r="C86" i="4"/>
  <c r="O80" i="4"/>
  <c r="P80" i="4"/>
  <c r="Q80" i="4"/>
  <c r="R80" i="4"/>
  <c r="S80" i="4"/>
  <c r="T80" i="4"/>
  <c r="U80" i="4"/>
  <c r="V80" i="4"/>
  <c r="V81" i="4" s="1"/>
  <c r="W80" i="4"/>
  <c r="X80" i="4"/>
  <c r="Y80" i="4"/>
  <c r="Z80" i="4"/>
  <c r="AA80" i="4"/>
  <c r="AB80" i="4"/>
  <c r="AC80" i="4"/>
  <c r="AD80" i="4"/>
  <c r="AE80" i="4"/>
  <c r="N80" i="4"/>
  <c r="M80" i="4"/>
  <c r="L80" i="4"/>
  <c r="K80" i="4"/>
  <c r="J80" i="4"/>
  <c r="I80" i="4"/>
  <c r="H80" i="4"/>
  <c r="G80" i="4"/>
  <c r="F80" i="4"/>
  <c r="E80" i="4"/>
  <c r="D80" i="4"/>
  <c r="C80" i="4"/>
  <c r="L23" i="4"/>
  <c r="P23" i="4" s="1"/>
  <c r="K23" i="4"/>
  <c r="J23" i="4"/>
  <c r="I23" i="4"/>
  <c r="H23" i="4"/>
  <c r="G23" i="4"/>
  <c r="F23" i="4"/>
  <c r="E23" i="4"/>
  <c r="D23" i="4"/>
  <c r="C23" i="4"/>
  <c r="D18" i="4"/>
  <c r="E18" i="4"/>
  <c r="F18" i="4"/>
  <c r="G18" i="4"/>
  <c r="H18" i="4"/>
  <c r="I18" i="4"/>
  <c r="J18" i="4"/>
  <c r="K18" i="4"/>
  <c r="L18" i="4"/>
  <c r="M18" i="4"/>
  <c r="C18" i="4"/>
  <c r="P18" i="4" l="1"/>
  <c r="C17" i="26"/>
  <c r="H18" i="26"/>
  <c r="H19" i="26"/>
  <c r="H20" i="26"/>
  <c r="H21" i="26"/>
  <c r="H22" i="26"/>
  <c r="H23" i="26"/>
  <c r="H24" i="26"/>
  <c r="H25" i="26"/>
  <c r="H26" i="26"/>
  <c r="H27" i="26"/>
  <c r="H17" i="26"/>
  <c r="M18" i="26"/>
  <c r="M19" i="26"/>
  <c r="M20" i="26"/>
  <c r="M21" i="26"/>
  <c r="M22" i="26"/>
  <c r="M23" i="26"/>
  <c r="M24" i="26"/>
  <c r="M25" i="26"/>
  <c r="M26" i="26"/>
  <c r="M27" i="26"/>
  <c r="M17" i="26"/>
  <c r="U5" i="26"/>
  <c r="T5" i="26"/>
  <c r="S5" i="26"/>
  <c r="Z5" i="26"/>
  <c r="Y5" i="26"/>
  <c r="R18" i="26"/>
  <c r="R19" i="26"/>
  <c r="R20" i="26"/>
  <c r="R21" i="26"/>
  <c r="R22" i="26"/>
  <c r="R23" i="26"/>
  <c r="R24" i="26"/>
  <c r="R25" i="26"/>
  <c r="R26" i="26"/>
  <c r="R27" i="26"/>
  <c r="R17" i="26"/>
  <c r="W18" i="26"/>
  <c r="W19" i="26"/>
  <c r="W20" i="26"/>
  <c r="W21" i="26"/>
  <c r="W22" i="26"/>
  <c r="W23" i="26"/>
  <c r="W24" i="26"/>
  <c r="W25" i="26"/>
  <c r="W26" i="26"/>
  <c r="W27" i="26"/>
  <c r="W17" i="26"/>
  <c r="X5" i="26"/>
  <c r="B201" i="2" l="1"/>
  <c r="B202" i="2" s="1"/>
  <c r="B203" i="2" s="1"/>
  <c r="B204" i="2" s="1"/>
  <c r="B205" i="2" s="1"/>
  <c r="B206" i="2" s="1"/>
  <c r="B207" i="2" s="1"/>
  <c r="B208" i="2" s="1"/>
  <c r="B209" i="2" s="1"/>
  <c r="B210" i="2" s="1"/>
  <c r="B211" i="2" s="1"/>
  <c r="B212" i="2" s="1"/>
  <c r="G200" i="2"/>
  <c r="O200" i="2"/>
  <c r="P200" i="2" s="1"/>
  <c r="Q200" i="2" s="1"/>
  <c r="G201" i="2"/>
  <c r="O201" i="2"/>
  <c r="P201" i="2" s="1"/>
  <c r="Q201" i="2" s="1"/>
  <c r="G202" i="2"/>
  <c r="O202" i="2"/>
  <c r="P202" i="2" s="1"/>
  <c r="Q202" i="2" s="1"/>
  <c r="G203" i="2"/>
  <c r="O203" i="2"/>
  <c r="P203" i="2" s="1"/>
  <c r="Q203" i="2" s="1"/>
  <c r="G204" i="2"/>
  <c r="O204" i="2"/>
  <c r="P204" i="2" s="1"/>
  <c r="Q204" i="2" s="1"/>
  <c r="R204" i="2" s="1"/>
  <c r="G205" i="2"/>
  <c r="O205" i="2"/>
  <c r="P205" i="2" s="1"/>
  <c r="Q205" i="2" s="1"/>
  <c r="R205" i="2" s="1"/>
  <c r="G206" i="2"/>
  <c r="O206" i="2"/>
  <c r="P206" i="2" s="1"/>
  <c r="Q206" i="2" s="1"/>
  <c r="R206" i="2" s="1"/>
  <c r="G207" i="2"/>
  <c r="O207" i="2"/>
  <c r="P207" i="2" s="1"/>
  <c r="Q207" i="2" s="1"/>
  <c r="G208" i="2"/>
  <c r="O208" i="2"/>
  <c r="P208" i="2" s="1"/>
  <c r="Q208" i="2" s="1"/>
  <c r="G209" i="2"/>
  <c r="O209" i="2"/>
  <c r="P209" i="2" s="1"/>
  <c r="Q209" i="2" s="1"/>
  <c r="R209" i="2" s="1"/>
  <c r="G210" i="2"/>
  <c r="O210" i="2"/>
  <c r="P210" i="2" s="1"/>
  <c r="Q210" i="2" s="1"/>
  <c r="B214" i="2"/>
  <c r="B215" i="2" s="1"/>
  <c r="B216" i="2" s="1"/>
  <c r="B217" i="2" s="1"/>
  <c r="B218" i="2" s="1"/>
  <c r="B219" i="2" s="1"/>
  <c r="B220" i="2" s="1"/>
  <c r="B221" i="2" s="1"/>
  <c r="B222" i="2" s="1"/>
  <c r="B223" i="2" s="1"/>
  <c r="B224" i="2" s="1"/>
  <c r="B225" i="2" s="1"/>
  <c r="D214" i="2"/>
  <c r="D215" i="2" s="1"/>
  <c r="D216" i="2" s="1"/>
  <c r="D217" i="2" s="1"/>
  <c r="D218" i="2" s="1"/>
  <c r="D219" i="2" s="1"/>
  <c r="D220" i="2" s="1"/>
  <c r="D221" i="2" s="1"/>
  <c r="D222" i="2" s="1"/>
  <c r="D223" i="2" s="1"/>
  <c r="D224" i="2" s="1"/>
  <c r="D225" i="2" s="1"/>
  <c r="G213" i="2"/>
  <c r="O213" i="2"/>
  <c r="P213" i="2" s="1"/>
  <c r="Q213" i="2" s="1"/>
  <c r="G214" i="2"/>
  <c r="O214" i="2"/>
  <c r="P214" i="2" s="1"/>
  <c r="Q214" i="2" s="1"/>
  <c r="G215" i="2"/>
  <c r="O215" i="2"/>
  <c r="P215" i="2" s="1"/>
  <c r="Q215" i="2" s="1"/>
  <c r="R215" i="2" s="1"/>
  <c r="G216" i="2"/>
  <c r="O216" i="2"/>
  <c r="P216" i="2" s="1"/>
  <c r="Q216" i="2" s="1"/>
  <c r="G217" i="2"/>
  <c r="O217" i="2"/>
  <c r="P217" i="2" s="1"/>
  <c r="Q217" i="2" s="1"/>
  <c r="G218" i="2"/>
  <c r="O218" i="2"/>
  <c r="P218" i="2" s="1"/>
  <c r="Q218" i="2" s="1"/>
  <c r="G219" i="2"/>
  <c r="O219" i="2"/>
  <c r="P219" i="2" s="1"/>
  <c r="Q219" i="2" s="1"/>
  <c r="R219" i="2" s="1"/>
  <c r="G220" i="2"/>
  <c r="O220" i="2"/>
  <c r="P220" i="2" s="1"/>
  <c r="Q220" i="2" s="1"/>
  <c r="G221" i="2"/>
  <c r="O221" i="2"/>
  <c r="P221" i="2" s="1"/>
  <c r="Q221" i="2" s="1"/>
  <c r="G222" i="2"/>
  <c r="O222" i="2"/>
  <c r="P222" i="2" s="1"/>
  <c r="Q222" i="2" s="1"/>
  <c r="G223" i="2"/>
  <c r="O223" i="2"/>
  <c r="P223" i="2" s="1"/>
  <c r="Q223" i="2" s="1"/>
  <c r="R223" i="2" s="1"/>
  <c r="I82" i="12"/>
  <c r="C117" i="12" s="1"/>
  <c r="D17" i="26"/>
  <c r="E17" i="26"/>
  <c r="D201" i="2" l="1"/>
  <c r="D202" i="2" s="1"/>
  <c r="D203" i="2" s="1"/>
  <c r="D204" i="2" s="1"/>
  <c r="D205" i="2" s="1"/>
  <c r="D206" i="2" s="1"/>
  <c r="D207" i="2" s="1"/>
  <c r="D208" i="2" s="1"/>
  <c r="D209" i="2" s="1"/>
  <c r="D210" i="2" s="1"/>
  <c r="D211" i="2" s="1"/>
  <c r="D212" i="2" s="1"/>
  <c r="R201" i="2"/>
  <c r="S201" i="2" s="1"/>
  <c r="T201" i="2" s="1"/>
  <c r="S209" i="2"/>
  <c r="T209" i="2" s="1"/>
  <c r="R221" i="2"/>
  <c r="S221" i="2" s="1"/>
  <c r="R202" i="2"/>
  <c r="S202" i="2" s="1"/>
  <c r="R220" i="2"/>
  <c r="S220" i="2" s="1"/>
  <c r="R213" i="2"/>
  <c r="S213" i="2" s="1"/>
  <c r="R208" i="2"/>
  <c r="S208" i="2" s="1"/>
  <c r="R217" i="2"/>
  <c r="S217" i="2" s="1"/>
  <c r="R214" i="2"/>
  <c r="S214" i="2" s="1"/>
  <c r="S205" i="2"/>
  <c r="T205" i="2" s="1"/>
  <c r="R222" i="2"/>
  <c r="R216" i="2"/>
  <c r="S216" i="2" s="1"/>
  <c r="R210" i="2"/>
  <c r="S210" i="2" s="1"/>
  <c r="R203" i="2"/>
  <c r="S203" i="2" s="1"/>
  <c r="R200" i="2"/>
  <c r="S200" i="2" s="1"/>
  <c r="S215" i="2"/>
  <c r="T215" i="2" s="1"/>
  <c r="R207" i="2"/>
  <c r="S204" i="2"/>
  <c r="T204" i="2" s="1"/>
  <c r="S223" i="2"/>
  <c r="T223" i="2" s="1"/>
  <c r="S219" i="2"/>
  <c r="T219" i="2" s="1"/>
  <c r="R218" i="2"/>
  <c r="S218" i="2" s="1"/>
  <c r="S206" i="2"/>
  <c r="T206" i="2" s="1"/>
  <c r="T203" i="2" l="1"/>
  <c r="T217" i="2"/>
  <c r="T218" i="2"/>
  <c r="T200" i="2"/>
  <c r="T216" i="2"/>
  <c r="T208" i="2"/>
  <c r="T220" i="2"/>
  <c r="S207" i="2"/>
  <c r="T207" i="2" s="1"/>
  <c r="T210" i="2"/>
  <c r="S222" i="2"/>
  <c r="T222" i="2" s="1"/>
  <c r="T214" i="2"/>
  <c r="T213" i="2"/>
  <c r="T202" i="2"/>
  <c r="T221" i="2"/>
  <c r="M253" i="2" l="1"/>
  <c r="M254" i="2"/>
  <c r="M255" i="2"/>
  <c r="M256" i="2"/>
  <c r="M257" i="2"/>
  <c r="M258" i="2"/>
  <c r="M259" i="2"/>
  <c r="M260" i="2"/>
  <c r="M262" i="2"/>
  <c r="G262" i="2" s="1"/>
  <c r="M261" i="2" l="1"/>
  <c r="C13" i="22" l="1"/>
  <c r="H7" i="22"/>
  <c r="Q16" i="3" l="1"/>
  <c r="Q17" i="3"/>
  <c r="Q18" i="3"/>
  <c r="Q19" i="3"/>
  <c r="Q20" i="3"/>
  <c r="Q21" i="3"/>
  <c r="Q22" i="3"/>
  <c r="Q23" i="3"/>
  <c r="Q24" i="3"/>
  <c r="Q25" i="3"/>
  <c r="Q15" i="3"/>
  <c r="R17" i="3"/>
  <c r="R18" i="3"/>
  <c r="R19" i="3"/>
  <c r="R20" i="3"/>
  <c r="R21" i="3"/>
  <c r="R22" i="3"/>
  <c r="R23" i="3"/>
  <c r="R24" i="3"/>
  <c r="R25" i="3"/>
  <c r="E2" i="12" l="1"/>
  <c r="D2" i="12"/>
  <c r="E14" i="24"/>
  <c r="E15" i="24"/>
  <c r="E16" i="24"/>
  <c r="E17" i="24"/>
  <c r="E18" i="24"/>
  <c r="E19" i="24"/>
  <c r="E20" i="24"/>
  <c r="E21" i="24"/>
  <c r="E22" i="24"/>
  <c r="E23" i="24"/>
  <c r="E24" i="24"/>
  <c r="F25" i="24" s="1"/>
  <c r="Y28" i="26" s="1"/>
  <c r="C14" i="24"/>
  <c r="C15" i="24"/>
  <c r="C16" i="24"/>
  <c r="C17" i="24"/>
  <c r="D18" i="24" s="1"/>
  <c r="C19" i="24"/>
  <c r="C20" i="24"/>
  <c r="C21" i="24"/>
  <c r="C22" i="24"/>
  <c r="C23" i="24"/>
  <c r="C24" i="24"/>
  <c r="D25" i="24" s="1"/>
  <c r="X28" i="26" s="1"/>
  <c r="X17" i="26" l="1"/>
  <c r="Y17" i="26"/>
  <c r="F18" i="24"/>
  <c r="Y21" i="26" s="1"/>
  <c r="D17" i="24"/>
  <c r="X20" i="26" s="1"/>
  <c r="D15" i="24"/>
  <c r="X18" i="26" s="1"/>
  <c r="F2" i="24"/>
  <c r="H1" i="3"/>
  <c r="T5" i="2"/>
  <c r="J26" i="24" l="1"/>
  <c r="Z29" i="26" s="1"/>
  <c r="J25" i="24"/>
  <c r="Z28" i="26" s="1"/>
  <c r="F15" i="24"/>
  <c r="F21" i="24"/>
  <c r="Y24" i="26" s="1"/>
  <c r="F23" i="24"/>
  <c r="Y26" i="26" s="1"/>
  <c r="D20" i="24"/>
  <c r="X23" i="26" s="1"/>
  <c r="D22" i="24"/>
  <c r="X25" i="26" s="1"/>
  <c r="D24" i="24"/>
  <c r="X27" i="26" s="1"/>
  <c r="J14" i="24"/>
  <c r="Z17" i="26" s="1"/>
  <c r="D19" i="24"/>
  <c r="X22" i="26" s="1"/>
  <c r="F22" i="24"/>
  <c r="D16" i="24"/>
  <c r="X19" i="26" s="1"/>
  <c r="F17" i="24"/>
  <c r="F19" i="24"/>
  <c r="Y22" i="26" s="1"/>
  <c r="D21" i="24"/>
  <c r="D23" i="24"/>
  <c r="X26" i="26" s="1"/>
  <c r="H15" i="24"/>
  <c r="F16" i="24"/>
  <c r="Y19" i="26" s="1"/>
  <c r="F20" i="24"/>
  <c r="Y23" i="26" s="1"/>
  <c r="F24" i="24"/>
  <c r="Y27" i="26" s="1"/>
  <c r="B253" i="2"/>
  <c r="B254" i="2" s="1"/>
  <c r="B255" i="2" s="1"/>
  <c r="B256" i="2" s="1"/>
  <c r="B257" i="2" s="1"/>
  <c r="B258" i="2" s="1"/>
  <c r="B259" i="2" s="1"/>
  <c r="B260" i="2" s="1"/>
  <c r="B261" i="2" s="1"/>
  <c r="B262" i="2" s="1"/>
  <c r="B263" i="2" s="1"/>
  <c r="B264" i="2" s="1"/>
  <c r="B175" i="2"/>
  <c r="B176" i="2" s="1"/>
  <c r="B177" i="2" s="1"/>
  <c r="B178" i="2" s="1"/>
  <c r="B179" i="2" s="1"/>
  <c r="B180" i="2" s="1"/>
  <c r="B181" i="2" s="1"/>
  <c r="B182" i="2" s="1"/>
  <c r="B183" i="2" s="1"/>
  <c r="B184" i="2" s="1"/>
  <c r="B185" i="2" s="1"/>
  <c r="B186" i="2" s="1"/>
  <c r="B162" i="2"/>
  <c r="B163" i="2" s="1"/>
  <c r="B164" i="2" s="1"/>
  <c r="B165" i="2" s="1"/>
  <c r="B166" i="2" s="1"/>
  <c r="B167" i="2" s="1"/>
  <c r="B168" i="2" s="1"/>
  <c r="B169" i="2" s="1"/>
  <c r="B170" i="2" s="1"/>
  <c r="B171" i="2" s="1"/>
  <c r="B172" i="2" s="1"/>
  <c r="B173" i="2" s="1"/>
  <c r="B149" i="2"/>
  <c r="B150" i="2" s="1"/>
  <c r="B151" i="2" s="1"/>
  <c r="B152" i="2" s="1"/>
  <c r="B153" i="2" s="1"/>
  <c r="B154" i="2" s="1"/>
  <c r="B155" i="2" s="1"/>
  <c r="B156" i="2" s="1"/>
  <c r="B157" i="2" s="1"/>
  <c r="B158" i="2" s="1"/>
  <c r="B159" i="2" s="1"/>
  <c r="B160" i="2" s="1"/>
  <c r="B136" i="2"/>
  <c r="B137" i="2" s="1"/>
  <c r="B138" i="2" s="1"/>
  <c r="B139" i="2" s="1"/>
  <c r="B140" i="2" s="1"/>
  <c r="B141" i="2" s="1"/>
  <c r="B142" i="2" s="1"/>
  <c r="B143" i="2" s="1"/>
  <c r="B144" i="2" s="1"/>
  <c r="B145" i="2" s="1"/>
  <c r="B146" i="2" s="1"/>
  <c r="B147" i="2" s="1"/>
  <c r="B110" i="2"/>
  <c r="B111" i="2" s="1"/>
  <c r="B112" i="2" s="1"/>
  <c r="B113" i="2" s="1"/>
  <c r="B114" i="2" s="1"/>
  <c r="B115" i="2" s="1"/>
  <c r="B116" i="2" s="1"/>
  <c r="B117" i="2" s="1"/>
  <c r="B118" i="2" s="1"/>
  <c r="B119" i="2" s="1"/>
  <c r="B120" i="2" s="1"/>
  <c r="B121" i="2" s="1"/>
  <c r="B97" i="2"/>
  <c r="B98" i="2" s="1"/>
  <c r="B99" i="2" s="1"/>
  <c r="B100" i="2" s="1"/>
  <c r="B101" i="2" s="1"/>
  <c r="B102" i="2" s="1"/>
  <c r="B103" i="2" s="1"/>
  <c r="B104" i="2" s="1"/>
  <c r="B105" i="2" s="1"/>
  <c r="B106" i="2" s="1"/>
  <c r="B107" i="2" s="1"/>
  <c r="B108" i="2" s="1"/>
  <c r="B84" i="2"/>
  <c r="B85" i="2" s="1"/>
  <c r="B86" i="2" s="1"/>
  <c r="B87" i="2" s="1"/>
  <c r="B88" i="2" s="1"/>
  <c r="B89" i="2" s="1"/>
  <c r="B90" i="2" s="1"/>
  <c r="B91" i="2" s="1"/>
  <c r="B92" i="2" s="1"/>
  <c r="B93" i="2" s="1"/>
  <c r="B94" i="2" s="1"/>
  <c r="B95" i="2" s="1"/>
  <c r="B71" i="2"/>
  <c r="B72" i="2" s="1"/>
  <c r="B73" i="2" s="1"/>
  <c r="B74" i="2" s="1"/>
  <c r="B75" i="2" s="1"/>
  <c r="B76" i="2" s="1"/>
  <c r="B77" i="2" s="1"/>
  <c r="B78" i="2" s="1"/>
  <c r="B79" i="2" s="1"/>
  <c r="B80" i="2" s="1"/>
  <c r="B81" i="2" s="1"/>
  <c r="B82" i="2" s="1"/>
  <c r="B58" i="2"/>
  <c r="B59" i="2" s="1"/>
  <c r="B60" i="2" s="1"/>
  <c r="B61" i="2" s="1"/>
  <c r="B62" i="2" s="1"/>
  <c r="B63" i="2" s="1"/>
  <c r="B64" i="2" s="1"/>
  <c r="B65" i="2" s="1"/>
  <c r="B66" i="2" s="1"/>
  <c r="B67" i="2" s="1"/>
  <c r="B68" i="2" s="1"/>
  <c r="B69" i="2" s="1"/>
  <c r="B45" i="2"/>
  <c r="B46" i="2" s="1"/>
  <c r="B47" i="2" s="1"/>
  <c r="B48" i="2" s="1"/>
  <c r="B49" i="2" s="1"/>
  <c r="B50" i="2" s="1"/>
  <c r="B51" i="2" s="1"/>
  <c r="B52" i="2" s="1"/>
  <c r="B53" i="2" s="1"/>
  <c r="B54" i="2" s="1"/>
  <c r="B55" i="2" s="1"/>
  <c r="B56" i="2" s="1"/>
  <c r="B32" i="2"/>
  <c r="B33" i="2" s="1"/>
  <c r="B34" i="2" s="1"/>
  <c r="B35" i="2" s="1"/>
  <c r="B36" i="2" s="1"/>
  <c r="B37" i="2" s="1"/>
  <c r="B38" i="2" s="1"/>
  <c r="B39" i="2" s="1"/>
  <c r="B40" i="2" s="1"/>
  <c r="B41" i="2" s="1"/>
  <c r="B42" i="2" s="1"/>
  <c r="B43" i="2" s="1"/>
  <c r="B19" i="2"/>
  <c r="B20" i="2" s="1"/>
  <c r="B21" i="2" s="1"/>
  <c r="B22" i="2" s="1"/>
  <c r="B23" i="2" s="1"/>
  <c r="B24" i="2" s="1"/>
  <c r="B25" i="2" s="1"/>
  <c r="B26" i="2" s="1"/>
  <c r="B27" i="2" s="1"/>
  <c r="B28" i="2" s="1"/>
  <c r="B29" i="2" s="1"/>
  <c r="B30" i="2" s="1"/>
  <c r="B6" i="2"/>
  <c r="B7" i="2" s="1"/>
  <c r="B8" i="2" s="1"/>
  <c r="B9" i="2" s="1"/>
  <c r="B10" i="2" s="1"/>
  <c r="B11" i="2" s="1"/>
  <c r="B12" i="2" s="1"/>
  <c r="B13" i="2" s="1"/>
  <c r="B14" i="2" s="1"/>
  <c r="B15" i="2" s="1"/>
  <c r="B16" i="2" s="1"/>
  <c r="B17" i="2" s="1"/>
  <c r="G184" i="2"/>
  <c r="G183" i="2"/>
  <c r="G182" i="2"/>
  <c r="G181" i="2"/>
  <c r="G180" i="2"/>
  <c r="G179" i="2"/>
  <c r="G178" i="2"/>
  <c r="G177" i="2"/>
  <c r="G176" i="2"/>
  <c r="G175" i="2"/>
  <c r="G174" i="2"/>
  <c r="G171" i="2"/>
  <c r="G170" i="2"/>
  <c r="G169" i="2"/>
  <c r="G168" i="2"/>
  <c r="G167" i="2"/>
  <c r="G166" i="2"/>
  <c r="G165" i="2"/>
  <c r="G164" i="2"/>
  <c r="G163" i="2"/>
  <c r="G162" i="2"/>
  <c r="G161" i="2"/>
  <c r="G158" i="2"/>
  <c r="G157" i="2"/>
  <c r="G156" i="2"/>
  <c r="G155" i="2"/>
  <c r="G154" i="2"/>
  <c r="G153" i="2"/>
  <c r="G152" i="2"/>
  <c r="G151" i="2"/>
  <c r="G150" i="2"/>
  <c r="G149" i="2"/>
  <c r="G148" i="2"/>
  <c r="G145" i="2"/>
  <c r="G144" i="2"/>
  <c r="G143" i="2"/>
  <c r="G142" i="2"/>
  <c r="G141" i="2"/>
  <c r="G140" i="2"/>
  <c r="G139" i="2"/>
  <c r="G138" i="2"/>
  <c r="G137" i="2"/>
  <c r="G136" i="2"/>
  <c r="G135" i="2"/>
  <c r="G132" i="2"/>
  <c r="G131" i="2"/>
  <c r="G130" i="2"/>
  <c r="G129" i="2"/>
  <c r="G128" i="2"/>
  <c r="G127" i="2"/>
  <c r="G126" i="2"/>
  <c r="G125" i="2"/>
  <c r="G124" i="2"/>
  <c r="G123" i="2"/>
  <c r="G122" i="2"/>
  <c r="G119" i="2"/>
  <c r="G118" i="2"/>
  <c r="G117" i="2"/>
  <c r="G116" i="2"/>
  <c r="G115" i="2"/>
  <c r="G114" i="2"/>
  <c r="G113" i="2"/>
  <c r="G112" i="2"/>
  <c r="G111" i="2"/>
  <c r="G110" i="2"/>
  <c r="G109" i="2"/>
  <c r="G106" i="2"/>
  <c r="G105" i="2"/>
  <c r="G104" i="2"/>
  <c r="G103" i="2"/>
  <c r="G102" i="2"/>
  <c r="G101" i="2"/>
  <c r="G100" i="2"/>
  <c r="G99" i="2"/>
  <c r="G98" i="2"/>
  <c r="G97" i="2"/>
  <c r="G96" i="2"/>
  <c r="G93" i="2"/>
  <c r="G92" i="2"/>
  <c r="G91" i="2"/>
  <c r="G90" i="2"/>
  <c r="G89" i="2"/>
  <c r="G88" i="2"/>
  <c r="G87" i="2"/>
  <c r="G86" i="2"/>
  <c r="G85" i="2"/>
  <c r="G84" i="2"/>
  <c r="G83" i="2"/>
  <c r="G80" i="2"/>
  <c r="G79" i="2"/>
  <c r="G78" i="2"/>
  <c r="G77" i="2"/>
  <c r="G76" i="2"/>
  <c r="G75" i="2"/>
  <c r="G74" i="2"/>
  <c r="G73" i="2"/>
  <c r="G72" i="2"/>
  <c r="G71" i="2"/>
  <c r="G70" i="2"/>
  <c r="G67" i="2"/>
  <c r="G66" i="2"/>
  <c r="G65" i="2"/>
  <c r="G64" i="2"/>
  <c r="G63" i="2"/>
  <c r="G62" i="2"/>
  <c r="G61" i="2"/>
  <c r="G60" i="2"/>
  <c r="G59" i="2"/>
  <c r="G58" i="2"/>
  <c r="G57" i="2"/>
  <c r="G54" i="2"/>
  <c r="G53" i="2"/>
  <c r="G52" i="2"/>
  <c r="G51" i="2"/>
  <c r="G50" i="2"/>
  <c r="G49" i="2"/>
  <c r="G48" i="2"/>
  <c r="G47" i="2"/>
  <c r="G46" i="2"/>
  <c r="G45" i="2"/>
  <c r="G44" i="2"/>
  <c r="G41" i="2"/>
  <c r="G40" i="2"/>
  <c r="G39" i="2"/>
  <c r="G38" i="2"/>
  <c r="G37" i="2"/>
  <c r="G36" i="2"/>
  <c r="G35" i="2"/>
  <c r="G34" i="2"/>
  <c r="G33" i="2"/>
  <c r="G32" i="2"/>
  <c r="G28" i="2"/>
  <c r="G27" i="2"/>
  <c r="G26" i="2"/>
  <c r="G25" i="2"/>
  <c r="G24" i="2"/>
  <c r="G23" i="2"/>
  <c r="G22" i="2"/>
  <c r="G21" i="2"/>
  <c r="G20" i="2"/>
  <c r="G19" i="2"/>
  <c r="G18" i="2"/>
  <c r="G15" i="2"/>
  <c r="G14" i="2"/>
  <c r="G13" i="2"/>
  <c r="G12" i="2"/>
  <c r="G11" i="2"/>
  <c r="G10" i="2"/>
  <c r="G9" i="2"/>
  <c r="G8" i="2"/>
  <c r="G7" i="2"/>
  <c r="G6" i="2"/>
  <c r="G5" i="2"/>
  <c r="M239" i="2"/>
  <c r="M252" i="2" s="1"/>
  <c r="G239" i="2" l="1"/>
  <c r="J23" i="24"/>
  <c r="Z26" i="26" s="1"/>
  <c r="J21" i="24"/>
  <c r="Z24" i="26" s="1"/>
  <c r="X24" i="26"/>
  <c r="J22" i="24"/>
  <c r="Z25" i="26" s="1"/>
  <c r="Y25" i="26"/>
  <c r="I15" i="24"/>
  <c r="I16" i="24" s="1"/>
  <c r="Y18" i="26"/>
  <c r="J17" i="24"/>
  <c r="Z20" i="26" s="1"/>
  <c r="Y20" i="26"/>
  <c r="J18" i="24"/>
  <c r="Z21" i="26" s="1"/>
  <c r="X21" i="26"/>
  <c r="J15" i="24"/>
  <c r="Z18" i="26" s="1"/>
  <c r="J20" i="24"/>
  <c r="Z23" i="26" s="1"/>
  <c r="G31" i="2"/>
  <c r="J19" i="24"/>
  <c r="Z22" i="26" s="1"/>
  <c r="J16" i="24"/>
  <c r="Z19" i="26" s="1"/>
  <c r="J24" i="24"/>
  <c r="Z27" i="26" s="1"/>
  <c r="H16" i="24"/>
  <c r="B123" i="2"/>
  <c r="B124" i="2" s="1"/>
  <c r="B125" i="2" s="1"/>
  <c r="B126" i="2" s="1"/>
  <c r="B127" i="2" s="1"/>
  <c r="B128" i="2" s="1"/>
  <c r="B129" i="2" s="1"/>
  <c r="B130" i="2" s="1"/>
  <c r="B131" i="2" s="1"/>
  <c r="B132" i="2" s="1"/>
  <c r="B133" i="2" s="1"/>
  <c r="B134" i="2" s="1"/>
  <c r="K15" i="24" l="1"/>
  <c r="I17" i="24"/>
  <c r="H17" i="24"/>
  <c r="H18" i="24" s="1"/>
  <c r="L1" i="2"/>
  <c r="R16" i="3"/>
  <c r="R15" i="3"/>
  <c r="E18" i="26" l="1"/>
  <c r="E46" i="26" s="1"/>
  <c r="L15" i="24"/>
  <c r="K16" i="24"/>
  <c r="L16" i="24" s="1"/>
  <c r="I18" i="24"/>
  <c r="O171" i="2"/>
  <c r="O170" i="2"/>
  <c r="P170" i="2" s="1"/>
  <c r="Q170" i="2" s="1"/>
  <c r="O169" i="2"/>
  <c r="P169" i="2" s="1"/>
  <c r="Q169" i="2" s="1"/>
  <c r="O168" i="2"/>
  <c r="P168" i="2" s="1"/>
  <c r="Q168" i="2" s="1"/>
  <c r="O167" i="2"/>
  <c r="P167" i="2" s="1"/>
  <c r="Q167" i="2" s="1"/>
  <c r="O166" i="2"/>
  <c r="P166" i="2" s="1"/>
  <c r="Q166" i="2" s="1"/>
  <c r="O165" i="2"/>
  <c r="P165" i="2" s="1"/>
  <c r="Q165" i="2" s="1"/>
  <c r="O164" i="2"/>
  <c r="P164" i="2" s="1"/>
  <c r="Q164" i="2" s="1"/>
  <c r="O163" i="2"/>
  <c r="P163" i="2" s="1"/>
  <c r="Q163" i="2" s="1"/>
  <c r="O162" i="2"/>
  <c r="P162" i="2" s="1"/>
  <c r="Q162" i="2" s="1"/>
  <c r="O161" i="2"/>
  <c r="P161" i="2" s="1"/>
  <c r="O145" i="2"/>
  <c r="P145" i="2" s="1"/>
  <c r="Q145" i="2" s="1"/>
  <c r="O144" i="2"/>
  <c r="P144" i="2" s="1"/>
  <c r="Q144" i="2" s="1"/>
  <c r="R144" i="2" s="1"/>
  <c r="O143" i="2"/>
  <c r="P143" i="2" s="1"/>
  <c r="Q143" i="2" s="1"/>
  <c r="O142" i="2"/>
  <c r="P142" i="2" s="1"/>
  <c r="Q142" i="2" s="1"/>
  <c r="O141" i="2"/>
  <c r="P141" i="2" s="1"/>
  <c r="Q141" i="2" s="1"/>
  <c r="O140" i="2"/>
  <c r="P140" i="2" s="1"/>
  <c r="Q140" i="2" s="1"/>
  <c r="O139" i="2"/>
  <c r="P139" i="2" s="1"/>
  <c r="Q139" i="2" s="1"/>
  <c r="O138" i="2"/>
  <c r="P138" i="2" s="1"/>
  <c r="Q138" i="2" s="1"/>
  <c r="O137" i="2"/>
  <c r="P137" i="2" s="1"/>
  <c r="Q137" i="2" s="1"/>
  <c r="O136" i="2"/>
  <c r="P136" i="2" s="1"/>
  <c r="Q136" i="2" s="1"/>
  <c r="O135" i="2"/>
  <c r="P135" i="2" s="1"/>
  <c r="Q135" i="2" s="1"/>
  <c r="O93" i="2"/>
  <c r="P93" i="2" s="1"/>
  <c r="Q93" i="2" s="1"/>
  <c r="O92" i="2"/>
  <c r="P92" i="2" s="1"/>
  <c r="Q92" i="2" s="1"/>
  <c r="O91" i="2"/>
  <c r="P91" i="2" s="1"/>
  <c r="Q91" i="2" s="1"/>
  <c r="O90" i="2"/>
  <c r="P90" i="2" s="1"/>
  <c r="Q90" i="2" s="1"/>
  <c r="O89" i="2"/>
  <c r="P89" i="2" s="1"/>
  <c r="Q89" i="2" s="1"/>
  <c r="O88" i="2"/>
  <c r="P88" i="2" s="1"/>
  <c r="Q88" i="2" s="1"/>
  <c r="O87" i="2"/>
  <c r="P87" i="2" s="1"/>
  <c r="Q87" i="2" s="1"/>
  <c r="O86" i="2"/>
  <c r="P86" i="2" s="1"/>
  <c r="Q86" i="2" s="1"/>
  <c r="O85" i="2"/>
  <c r="P85" i="2" s="1"/>
  <c r="Q85" i="2" s="1"/>
  <c r="O84" i="2"/>
  <c r="P84" i="2" s="1"/>
  <c r="Q84" i="2" s="1"/>
  <c r="O83" i="2"/>
  <c r="P83" i="2" s="1"/>
  <c r="Q83" i="2" s="1"/>
  <c r="O119" i="2"/>
  <c r="P119" i="2" s="1"/>
  <c r="Q119" i="2" s="1"/>
  <c r="O118" i="2"/>
  <c r="P118" i="2" s="1"/>
  <c r="Q118" i="2" s="1"/>
  <c r="O117" i="2"/>
  <c r="P117" i="2" s="1"/>
  <c r="Q117" i="2" s="1"/>
  <c r="O116" i="2"/>
  <c r="P116" i="2" s="1"/>
  <c r="Q116" i="2" s="1"/>
  <c r="O115" i="2"/>
  <c r="P115" i="2" s="1"/>
  <c r="Q115" i="2" s="1"/>
  <c r="O114" i="2"/>
  <c r="P114" i="2" s="1"/>
  <c r="Q114" i="2" s="1"/>
  <c r="O113" i="2"/>
  <c r="P113" i="2" s="1"/>
  <c r="Q113" i="2" s="1"/>
  <c r="O112" i="2"/>
  <c r="P112" i="2" s="1"/>
  <c r="Q112" i="2" s="1"/>
  <c r="O111" i="2"/>
  <c r="P111" i="2" s="1"/>
  <c r="Q111" i="2" s="1"/>
  <c r="O110" i="2"/>
  <c r="P110" i="2" s="1"/>
  <c r="Q110" i="2" s="1"/>
  <c r="O109" i="2"/>
  <c r="P109" i="2" s="1"/>
  <c r="Q109" i="2" s="1"/>
  <c r="D253" i="2"/>
  <c r="D254" i="2" s="1"/>
  <c r="D255" i="2" s="1"/>
  <c r="D256" i="2" s="1"/>
  <c r="D257" i="2" s="1"/>
  <c r="D258" i="2" s="1"/>
  <c r="D259" i="2" s="1"/>
  <c r="D260" i="2" s="1"/>
  <c r="D261" i="2" s="1"/>
  <c r="D262" i="2" s="1"/>
  <c r="D263" i="2" s="1"/>
  <c r="D264" i="2" s="1"/>
  <c r="D175" i="2"/>
  <c r="D176" i="2" s="1"/>
  <c r="D177" i="2" s="1"/>
  <c r="D178" i="2" s="1"/>
  <c r="D179" i="2" s="1"/>
  <c r="D180" i="2" s="1"/>
  <c r="D181" i="2" s="1"/>
  <c r="D182" i="2" s="1"/>
  <c r="D183" i="2" s="1"/>
  <c r="D184" i="2" s="1"/>
  <c r="D185" i="2" s="1"/>
  <c r="D186" i="2" s="1"/>
  <c r="D162" i="2"/>
  <c r="D163" i="2" s="1"/>
  <c r="D164" i="2" s="1"/>
  <c r="D165" i="2" s="1"/>
  <c r="D166" i="2" s="1"/>
  <c r="D167" i="2" s="1"/>
  <c r="D168" i="2" s="1"/>
  <c r="D169" i="2" s="1"/>
  <c r="D170" i="2" s="1"/>
  <c r="D171" i="2" s="1"/>
  <c r="D172" i="2" s="1"/>
  <c r="D173" i="2" s="1"/>
  <c r="D149" i="2"/>
  <c r="D150" i="2" s="1"/>
  <c r="D151" i="2" s="1"/>
  <c r="D152" i="2" s="1"/>
  <c r="D153" i="2" s="1"/>
  <c r="D154" i="2" s="1"/>
  <c r="D155" i="2" s="1"/>
  <c r="D156" i="2" s="1"/>
  <c r="D157" i="2" s="1"/>
  <c r="D158" i="2" s="1"/>
  <c r="D159" i="2" s="1"/>
  <c r="D160" i="2" s="1"/>
  <c r="D136" i="2"/>
  <c r="D137" i="2" s="1"/>
  <c r="D138" i="2" s="1"/>
  <c r="D139" i="2" s="1"/>
  <c r="D140" i="2" s="1"/>
  <c r="D141" i="2" s="1"/>
  <c r="D142" i="2" s="1"/>
  <c r="D143" i="2" s="1"/>
  <c r="D144" i="2" s="1"/>
  <c r="D145" i="2" s="1"/>
  <c r="D146" i="2" s="1"/>
  <c r="D147" i="2" s="1"/>
  <c r="D123" i="2"/>
  <c r="D124" i="2" s="1"/>
  <c r="D125" i="2" s="1"/>
  <c r="D126" i="2" s="1"/>
  <c r="D127" i="2" s="1"/>
  <c r="D128" i="2" s="1"/>
  <c r="D129" i="2" s="1"/>
  <c r="D130" i="2" s="1"/>
  <c r="D131" i="2" s="1"/>
  <c r="D132" i="2" s="1"/>
  <c r="D133" i="2" s="1"/>
  <c r="D134" i="2" s="1"/>
  <c r="D110" i="2"/>
  <c r="D111" i="2" s="1"/>
  <c r="D112" i="2" s="1"/>
  <c r="D113" i="2" s="1"/>
  <c r="D114" i="2" s="1"/>
  <c r="D115" i="2" s="1"/>
  <c r="D116" i="2" s="1"/>
  <c r="D117" i="2" s="1"/>
  <c r="D118" i="2" s="1"/>
  <c r="D119" i="2" s="1"/>
  <c r="D120" i="2" s="1"/>
  <c r="D121" i="2" s="1"/>
  <c r="D97" i="2"/>
  <c r="D98" i="2" s="1"/>
  <c r="D99" i="2" s="1"/>
  <c r="D100" i="2" s="1"/>
  <c r="D101" i="2" s="1"/>
  <c r="D102" i="2" s="1"/>
  <c r="D103" i="2" s="1"/>
  <c r="D104" i="2" s="1"/>
  <c r="D105" i="2" s="1"/>
  <c r="D106" i="2" s="1"/>
  <c r="D107" i="2" s="1"/>
  <c r="D108" i="2" s="1"/>
  <c r="O184" i="2"/>
  <c r="O183" i="2"/>
  <c r="O182" i="2"/>
  <c r="O181" i="2"/>
  <c r="O180" i="2"/>
  <c r="O179" i="2"/>
  <c r="P179" i="2" s="1"/>
  <c r="Q179" i="2" s="1"/>
  <c r="O178" i="2"/>
  <c r="P178" i="2" s="1"/>
  <c r="Q178" i="2" s="1"/>
  <c r="O177" i="2"/>
  <c r="P177" i="2" s="1"/>
  <c r="Q177" i="2" s="1"/>
  <c r="O176" i="2"/>
  <c r="P176" i="2" s="1"/>
  <c r="Q176" i="2" s="1"/>
  <c r="O175" i="2"/>
  <c r="P175" i="2" s="1"/>
  <c r="O174" i="2"/>
  <c r="O158" i="2"/>
  <c r="P158" i="2" s="1"/>
  <c r="Q158" i="2" s="1"/>
  <c r="O157" i="2"/>
  <c r="P157" i="2" s="1"/>
  <c r="Q157" i="2" s="1"/>
  <c r="O156" i="2"/>
  <c r="P156" i="2" s="1"/>
  <c r="Q156" i="2" s="1"/>
  <c r="O155" i="2"/>
  <c r="P155" i="2" s="1"/>
  <c r="Q155" i="2" s="1"/>
  <c r="O154" i="2"/>
  <c r="P154" i="2" s="1"/>
  <c r="Q154" i="2" s="1"/>
  <c r="R154" i="2" s="1"/>
  <c r="O153" i="2"/>
  <c r="P153" i="2" s="1"/>
  <c r="Q153" i="2" s="1"/>
  <c r="O152" i="2"/>
  <c r="P152" i="2" s="1"/>
  <c r="Q152" i="2" s="1"/>
  <c r="O151" i="2"/>
  <c r="P151" i="2" s="1"/>
  <c r="Q151" i="2" s="1"/>
  <c r="O150" i="2"/>
  <c r="P150" i="2" s="1"/>
  <c r="Q150" i="2" s="1"/>
  <c r="O149" i="2"/>
  <c r="P149" i="2" s="1"/>
  <c r="Q149" i="2" s="1"/>
  <c r="O148" i="2"/>
  <c r="P148" i="2" s="1"/>
  <c r="Q148" i="2" s="1"/>
  <c r="O132" i="2"/>
  <c r="P132" i="2" s="1"/>
  <c r="Q132" i="2" s="1"/>
  <c r="O131" i="2"/>
  <c r="P131" i="2" s="1"/>
  <c r="Q131" i="2" s="1"/>
  <c r="O130" i="2"/>
  <c r="P130" i="2" s="1"/>
  <c r="Q130" i="2" s="1"/>
  <c r="O129" i="2"/>
  <c r="P129" i="2" s="1"/>
  <c r="Q129" i="2" s="1"/>
  <c r="O128" i="2"/>
  <c r="P128" i="2" s="1"/>
  <c r="Q128" i="2" s="1"/>
  <c r="R128" i="2" s="1"/>
  <c r="O127" i="2"/>
  <c r="P127" i="2" s="1"/>
  <c r="Q127" i="2" s="1"/>
  <c r="O126" i="2"/>
  <c r="P126" i="2" s="1"/>
  <c r="Q126" i="2" s="1"/>
  <c r="O125" i="2"/>
  <c r="P125" i="2" s="1"/>
  <c r="Q125" i="2" s="1"/>
  <c r="O124" i="2"/>
  <c r="P124" i="2" s="1"/>
  <c r="Q124" i="2" s="1"/>
  <c r="O123" i="2"/>
  <c r="P123" i="2" s="1"/>
  <c r="Q123" i="2" s="1"/>
  <c r="O122" i="2"/>
  <c r="P122" i="2" s="1"/>
  <c r="Q122" i="2" s="1"/>
  <c r="O106" i="2"/>
  <c r="O105" i="2"/>
  <c r="O104" i="2"/>
  <c r="O103" i="2"/>
  <c r="O102" i="2"/>
  <c r="O101" i="2"/>
  <c r="O100" i="2"/>
  <c r="O99" i="2"/>
  <c r="O98" i="2"/>
  <c r="O97" i="2"/>
  <c r="P97" i="2" s="1"/>
  <c r="O67" i="2"/>
  <c r="P67" i="2" s="1"/>
  <c r="Q67" i="2" s="1"/>
  <c r="O66" i="2"/>
  <c r="P66" i="2" s="1"/>
  <c r="Q66" i="2" s="1"/>
  <c r="O65" i="2"/>
  <c r="P65" i="2" s="1"/>
  <c r="Q65" i="2" s="1"/>
  <c r="O64" i="2"/>
  <c r="P64" i="2" s="1"/>
  <c r="Q64" i="2" s="1"/>
  <c r="O63" i="2"/>
  <c r="P63" i="2" s="1"/>
  <c r="Q63" i="2" s="1"/>
  <c r="O62" i="2"/>
  <c r="P62" i="2" s="1"/>
  <c r="Q62" i="2" s="1"/>
  <c r="O61" i="2"/>
  <c r="P61" i="2" s="1"/>
  <c r="Q61" i="2" s="1"/>
  <c r="O60" i="2"/>
  <c r="P60" i="2" s="1"/>
  <c r="Q60" i="2" s="1"/>
  <c r="O59" i="2"/>
  <c r="P59" i="2" s="1"/>
  <c r="Q59" i="2" s="1"/>
  <c r="O58" i="2"/>
  <c r="P58" i="2" s="1"/>
  <c r="Q58" i="2" s="1"/>
  <c r="O57" i="2"/>
  <c r="P57" i="2" s="1"/>
  <c r="Q57" i="2" s="1"/>
  <c r="O41" i="2"/>
  <c r="O40" i="2"/>
  <c r="P40" i="2" s="1"/>
  <c r="Q40" i="2" s="1"/>
  <c r="O39" i="2"/>
  <c r="P39" i="2" s="1"/>
  <c r="Q39" i="2" s="1"/>
  <c r="O38" i="2"/>
  <c r="P38" i="2" s="1"/>
  <c r="Q38" i="2" s="1"/>
  <c r="O37" i="2"/>
  <c r="P37" i="2" s="1"/>
  <c r="Q37" i="2" s="1"/>
  <c r="O36" i="2"/>
  <c r="P36" i="2" s="1"/>
  <c r="Q36" i="2" s="1"/>
  <c r="O35" i="2"/>
  <c r="P35" i="2" s="1"/>
  <c r="Q35" i="2" s="1"/>
  <c r="O34" i="2"/>
  <c r="P34" i="2" s="1"/>
  <c r="Q34" i="2" s="1"/>
  <c r="O33" i="2"/>
  <c r="P33" i="2" s="1"/>
  <c r="Q33" i="2" s="1"/>
  <c r="O32" i="2"/>
  <c r="P32" i="2" s="1"/>
  <c r="O31" i="2"/>
  <c r="O80" i="2"/>
  <c r="P80" i="2" s="1"/>
  <c r="Q80" i="2" s="1"/>
  <c r="O79" i="2"/>
  <c r="P79" i="2" s="1"/>
  <c r="Q79" i="2" s="1"/>
  <c r="O78" i="2"/>
  <c r="P78" i="2" s="1"/>
  <c r="Q78" i="2" s="1"/>
  <c r="O77" i="2"/>
  <c r="P77" i="2" s="1"/>
  <c r="Q77" i="2" s="1"/>
  <c r="O76" i="2"/>
  <c r="P76" i="2" s="1"/>
  <c r="Q76" i="2" s="1"/>
  <c r="O75" i="2"/>
  <c r="P75" i="2" s="1"/>
  <c r="Q75" i="2" s="1"/>
  <c r="O74" i="2"/>
  <c r="P74" i="2" s="1"/>
  <c r="Q74" i="2" s="1"/>
  <c r="O73" i="2"/>
  <c r="P73" i="2" s="1"/>
  <c r="Q73" i="2" s="1"/>
  <c r="O72" i="2"/>
  <c r="P72" i="2" s="1"/>
  <c r="Q72" i="2" s="1"/>
  <c r="O71" i="2"/>
  <c r="P71" i="2" s="1"/>
  <c r="Q71" i="2" s="1"/>
  <c r="O70" i="2"/>
  <c r="P70" i="2" s="1"/>
  <c r="Q70" i="2" s="1"/>
  <c r="O54" i="2"/>
  <c r="P54" i="2" s="1"/>
  <c r="O53" i="2"/>
  <c r="P53" i="2" s="1"/>
  <c r="Q53" i="2" s="1"/>
  <c r="O52" i="2"/>
  <c r="P52" i="2" s="1"/>
  <c r="Q52" i="2" s="1"/>
  <c r="O51" i="2"/>
  <c r="P51" i="2" s="1"/>
  <c r="Q51" i="2" s="1"/>
  <c r="O50" i="2"/>
  <c r="P50" i="2" s="1"/>
  <c r="Q50" i="2" s="1"/>
  <c r="O49" i="2"/>
  <c r="P49" i="2" s="1"/>
  <c r="Q49" i="2" s="1"/>
  <c r="O48" i="2"/>
  <c r="P48" i="2" s="1"/>
  <c r="Q48" i="2" s="1"/>
  <c r="O47" i="2"/>
  <c r="P47" i="2" s="1"/>
  <c r="Q47" i="2" s="1"/>
  <c r="O46" i="2"/>
  <c r="P46" i="2" s="1"/>
  <c r="Q46" i="2" s="1"/>
  <c r="O45" i="2"/>
  <c r="P45" i="2" s="1"/>
  <c r="Q45" i="2" s="1"/>
  <c r="O44" i="2"/>
  <c r="P44" i="2" s="1"/>
  <c r="O28" i="2"/>
  <c r="P28" i="2" s="1"/>
  <c r="Q28" i="2" s="1"/>
  <c r="O27" i="2"/>
  <c r="P27" i="2" s="1"/>
  <c r="Q27" i="2" s="1"/>
  <c r="O26" i="2"/>
  <c r="P26" i="2" s="1"/>
  <c r="Q26" i="2" s="1"/>
  <c r="O25" i="2"/>
  <c r="P25" i="2" s="1"/>
  <c r="Q25" i="2" s="1"/>
  <c r="O24" i="2"/>
  <c r="P24" i="2" s="1"/>
  <c r="Q24" i="2" s="1"/>
  <c r="O23" i="2"/>
  <c r="P23" i="2" s="1"/>
  <c r="Q23" i="2" s="1"/>
  <c r="O22" i="2"/>
  <c r="P22" i="2" s="1"/>
  <c r="Q22" i="2" s="1"/>
  <c r="O21" i="2"/>
  <c r="P21" i="2" s="1"/>
  <c r="Q21" i="2" s="1"/>
  <c r="O20" i="2"/>
  <c r="P20" i="2" s="1"/>
  <c r="Q20" i="2" s="1"/>
  <c r="O19" i="2"/>
  <c r="P19" i="2" s="1"/>
  <c r="Q19" i="2" s="1"/>
  <c r="O18" i="2"/>
  <c r="P18" i="2" s="1"/>
  <c r="Q18" i="2" s="1"/>
  <c r="D84" i="2"/>
  <c r="D85" i="2" s="1"/>
  <c r="D86" i="2" s="1"/>
  <c r="D87" i="2" s="1"/>
  <c r="D88" i="2" s="1"/>
  <c r="D89" i="2" s="1"/>
  <c r="D90" i="2" s="1"/>
  <c r="D91" i="2" s="1"/>
  <c r="D92" i="2" s="1"/>
  <c r="D93" i="2" s="1"/>
  <c r="D94" i="2" s="1"/>
  <c r="D95" i="2" s="1"/>
  <c r="C6" i="2"/>
  <c r="C7" i="2" s="1"/>
  <c r="C8" i="2" s="1"/>
  <c r="C9" i="2" s="1"/>
  <c r="C10" i="2" s="1"/>
  <c r="C11" i="2" s="1"/>
  <c r="C12" i="2" s="1"/>
  <c r="C13" i="2" s="1"/>
  <c r="C14" i="2" s="1"/>
  <c r="C15" i="2" s="1"/>
  <c r="C16" i="2" s="1"/>
  <c r="C17" i="2" s="1"/>
  <c r="C18" i="2" s="1"/>
  <c r="P171" i="2" l="1"/>
  <c r="Q171" i="2" s="1"/>
  <c r="R171" i="2" s="1"/>
  <c r="P182" i="2"/>
  <c r="Q182" i="2" s="1"/>
  <c r="R182" i="2" s="1"/>
  <c r="P41" i="2"/>
  <c r="Q41" i="2" s="1"/>
  <c r="P31" i="2"/>
  <c r="Q31" i="2" s="1"/>
  <c r="P181" i="2"/>
  <c r="K17" i="24"/>
  <c r="L17" i="24" s="1"/>
  <c r="E19" i="26"/>
  <c r="E47" i="26" s="1"/>
  <c r="I19" i="24"/>
  <c r="H19" i="24"/>
  <c r="P99" i="2"/>
  <c r="Q99" i="2" s="1"/>
  <c r="R99" i="2" s="1"/>
  <c r="P98" i="2"/>
  <c r="P103" i="2"/>
  <c r="Q103" i="2" s="1"/>
  <c r="R103" i="2" s="1"/>
  <c r="Q161" i="2"/>
  <c r="R161" i="2" s="1"/>
  <c r="Q54" i="2"/>
  <c r="Q32" i="2"/>
  <c r="Q175" i="2"/>
  <c r="R175" i="2" s="1"/>
  <c r="Q97" i="2"/>
  <c r="R97" i="2" s="1"/>
  <c r="Q44" i="2"/>
  <c r="G254" i="2"/>
  <c r="G258" i="2"/>
  <c r="G255" i="2"/>
  <c r="G259" i="2"/>
  <c r="G252" i="2"/>
  <c r="G256" i="2"/>
  <c r="G260" i="2"/>
  <c r="G253" i="2"/>
  <c r="G257" i="2"/>
  <c r="G261" i="2"/>
  <c r="R163" i="2"/>
  <c r="R166" i="2"/>
  <c r="R164" i="2"/>
  <c r="R167" i="2"/>
  <c r="R170" i="2"/>
  <c r="R165" i="2"/>
  <c r="R168" i="2"/>
  <c r="R162" i="2"/>
  <c r="R169" i="2"/>
  <c r="R135" i="2"/>
  <c r="R141" i="2"/>
  <c r="R137" i="2"/>
  <c r="R142" i="2"/>
  <c r="R138" i="2"/>
  <c r="R143" i="2"/>
  <c r="R139" i="2"/>
  <c r="R145" i="2"/>
  <c r="R136" i="2"/>
  <c r="R140" i="2"/>
  <c r="S144" i="2"/>
  <c r="T144" i="2" s="1"/>
  <c r="R83" i="2"/>
  <c r="R86" i="2"/>
  <c r="R87" i="2"/>
  <c r="R92" i="2"/>
  <c r="R88" i="2"/>
  <c r="R91" i="2"/>
  <c r="R89" i="2"/>
  <c r="R84" i="2"/>
  <c r="S84" i="2" s="1"/>
  <c r="R85" i="2"/>
  <c r="R90" i="2"/>
  <c r="R93" i="2"/>
  <c r="R113" i="2"/>
  <c r="R116" i="2"/>
  <c r="R119" i="2"/>
  <c r="R110" i="2"/>
  <c r="R117" i="2"/>
  <c r="R111" i="2"/>
  <c r="R114" i="2"/>
  <c r="R109" i="2"/>
  <c r="R112" i="2"/>
  <c r="R115" i="2"/>
  <c r="R118" i="2"/>
  <c r="R151" i="2"/>
  <c r="R177" i="2"/>
  <c r="R125" i="2"/>
  <c r="R176" i="2"/>
  <c r="R179" i="2"/>
  <c r="R178" i="2"/>
  <c r="R150" i="2"/>
  <c r="R153" i="2"/>
  <c r="R158" i="2"/>
  <c r="R149" i="2"/>
  <c r="R157" i="2"/>
  <c r="R148" i="2"/>
  <c r="R156" i="2"/>
  <c r="R152" i="2"/>
  <c r="S154" i="2"/>
  <c r="T154" i="2" s="1"/>
  <c r="R155" i="2"/>
  <c r="R124" i="2"/>
  <c r="R127" i="2"/>
  <c r="R132" i="2"/>
  <c r="R123" i="2"/>
  <c r="R131" i="2"/>
  <c r="R122" i="2"/>
  <c r="R130" i="2"/>
  <c r="R126" i="2"/>
  <c r="S128" i="2"/>
  <c r="T128" i="2" s="1"/>
  <c r="R129" i="2"/>
  <c r="P173" i="2" l="1"/>
  <c r="Q173" i="2" s="1"/>
  <c r="P174" i="2"/>
  <c r="Q174" i="2" s="1"/>
  <c r="R174" i="2" s="1"/>
  <c r="P105" i="2"/>
  <c r="Q105" i="2" s="1"/>
  <c r="R105" i="2" s="1"/>
  <c r="P184" i="2"/>
  <c r="Q184" i="2" s="1"/>
  <c r="R184" i="2" s="1"/>
  <c r="P180" i="2"/>
  <c r="Q180" i="2" s="1"/>
  <c r="R180" i="2" s="1"/>
  <c r="P96" i="2"/>
  <c r="Q96" i="2" s="1"/>
  <c r="R96" i="2" s="1"/>
  <c r="P101" i="2"/>
  <c r="Q101" i="2" s="1"/>
  <c r="R101" i="2" s="1"/>
  <c r="P106" i="2"/>
  <c r="Q106" i="2" s="1"/>
  <c r="R106" i="2" s="1"/>
  <c r="P102" i="2"/>
  <c r="Q102" i="2" s="1"/>
  <c r="R102" i="2" s="1"/>
  <c r="P100" i="2"/>
  <c r="Q100" i="2" s="1"/>
  <c r="R100" i="2" s="1"/>
  <c r="P183" i="2"/>
  <c r="Q183" i="2" s="1"/>
  <c r="R183" i="2" s="1"/>
  <c r="P104" i="2"/>
  <c r="Q104" i="2" s="1"/>
  <c r="R104" i="2" s="1"/>
  <c r="Q181" i="2"/>
  <c r="R181" i="2" s="1"/>
  <c r="E20" i="26"/>
  <c r="E48" i="26" s="1"/>
  <c r="K18" i="24"/>
  <c r="L18" i="24" s="1"/>
  <c r="H20" i="24"/>
  <c r="I20" i="24"/>
  <c r="Q98" i="2"/>
  <c r="R98" i="2" s="1"/>
  <c r="S175" i="2"/>
  <c r="T175" i="2" s="1"/>
  <c r="S129" i="2"/>
  <c r="T129" i="2" s="1"/>
  <c r="S130" i="2"/>
  <c r="T130" i="2" s="1"/>
  <c r="S132" i="2"/>
  <c r="T132" i="2" s="1"/>
  <c r="S148" i="2"/>
  <c r="T148" i="2" s="1"/>
  <c r="S153" i="2"/>
  <c r="T153" i="2" s="1"/>
  <c r="S178" i="2"/>
  <c r="T178" i="2" s="1"/>
  <c r="S99" i="2"/>
  <c r="T99" i="2" s="1"/>
  <c r="S126" i="2"/>
  <c r="T126" i="2" s="1"/>
  <c r="S131" i="2"/>
  <c r="T131" i="2" s="1"/>
  <c r="S124" i="2"/>
  <c r="T124" i="2" s="1"/>
  <c r="S149" i="2"/>
  <c r="T149" i="2" s="1"/>
  <c r="S182" i="2"/>
  <c r="T182" i="2" s="1"/>
  <c r="S118" i="2"/>
  <c r="T118" i="2" s="1"/>
  <c r="S114" i="2"/>
  <c r="T114" i="2" s="1"/>
  <c r="S119" i="2"/>
  <c r="T119" i="2" s="1"/>
  <c r="S90" i="2"/>
  <c r="T90" i="2" s="1"/>
  <c r="S89" i="2"/>
  <c r="T89" i="2" s="1"/>
  <c r="S87" i="2"/>
  <c r="T87" i="2" s="1"/>
  <c r="S140" i="2"/>
  <c r="T140" i="2" s="1"/>
  <c r="S143" i="2"/>
  <c r="T143" i="2" s="1"/>
  <c r="S141" i="2"/>
  <c r="T141" i="2" s="1"/>
  <c r="S171" i="2"/>
  <c r="T171" i="2" s="1"/>
  <c r="S167" i="2"/>
  <c r="T167" i="2" s="1"/>
  <c r="S163" i="2"/>
  <c r="T163" i="2" s="1"/>
  <c r="S97" i="2"/>
  <c r="T97" i="2" s="1"/>
  <c r="S123" i="2"/>
  <c r="T123" i="2" s="1"/>
  <c r="S155" i="2"/>
  <c r="T155" i="2" s="1"/>
  <c r="S156" i="2"/>
  <c r="T156" i="2" s="1"/>
  <c r="S158" i="2"/>
  <c r="T158" i="2" s="1"/>
  <c r="S179" i="2"/>
  <c r="T179" i="2" s="1"/>
  <c r="S125" i="2"/>
  <c r="T125" i="2" s="1"/>
  <c r="S115" i="2"/>
  <c r="T115" i="2" s="1"/>
  <c r="S111" i="2"/>
  <c r="T111" i="2" s="1"/>
  <c r="S116" i="2"/>
  <c r="T116" i="2" s="1"/>
  <c r="S85" i="2"/>
  <c r="T85" i="2" s="1"/>
  <c r="S91" i="2"/>
  <c r="T91" i="2" s="1"/>
  <c r="S86" i="2"/>
  <c r="T86" i="2" s="1"/>
  <c r="S136" i="2"/>
  <c r="T136" i="2" s="1"/>
  <c r="S138" i="2"/>
  <c r="T138" i="2" s="1"/>
  <c r="S135" i="2"/>
  <c r="T135" i="2" s="1"/>
  <c r="S168" i="2"/>
  <c r="T168" i="2" s="1"/>
  <c r="S164" i="2"/>
  <c r="T164" i="2" s="1"/>
  <c r="S176" i="2"/>
  <c r="T176" i="2" s="1"/>
  <c r="S177" i="2"/>
  <c r="T177" i="2" s="1"/>
  <c r="S112" i="2"/>
  <c r="T112" i="2" s="1"/>
  <c r="S117" i="2"/>
  <c r="T117" i="2" s="1"/>
  <c r="S113" i="2"/>
  <c r="T113" i="2" s="1"/>
  <c r="S88" i="2"/>
  <c r="T88" i="2" s="1"/>
  <c r="S83" i="2"/>
  <c r="T83" i="2" s="1"/>
  <c r="S145" i="2"/>
  <c r="T145" i="2" s="1"/>
  <c r="S142" i="2"/>
  <c r="T142" i="2" s="1"/>
  <c r="S169" i="2"/>
  <c r="T169" i="2" s="1"/>
  <c r="S165" i="2"/>
  <c r="T165" i="2" s="1"/>
  <c r="S161" i="2"/>
  <c r="T161" i="2" s="1"/>
  <c r="S103" i="2"/>
  <c r="T103" i="2" s="1"/>
  <c r="S122" i="2"/>
  <c r="T122" i="2" s="1"/>
  <c r="S127" i="2"/>
  <c r="T127" i="2" s="1"/>
  <c r="S152" i="2"/>
  <c r="T152" i="2" s="1"/>
  <c r="S157" i="2"/>
  <c r="T157" i="2" s="1"/>
  <c r="S150" i="2"/>
  <c r="T150" i="2" s="1"/>
  <c r="S151" i="2"/>
  <c r="T151" i="2" s="1"/>
  <c r="S109" i="2"/>
  <c r="T109" i="2" s="1"/>
  <c r="S110" i="2"/>
  <c r="T110" i="2" s="1"/>
  <c r="S93" i="2"/>
  <c r="T93" i="2" s="1"/>
  <c r="T84" i="2"/>
  <c r="S92" i="2"/>
  <c r="T92" i="2" s="1"/>
  <c r="S139" i="2"/>
  <c r="T139" i="2" s="1"/>
  <c r="S137" i="2"/>
  <c r="T137" i="2" s="1"/>
  <c r="S162" i="2"/>
  <c r="T162" i="2" s="1"/>
  <c r="S170" i="2"/>
  <c r="T170" i="2" s="1"/>
  <c r="S166" i="2"/>
  <c r="T166" i="2" s="1"/>
  <c r="R173" i="2" l="1"/>
  <c r="S173" i="2" s="1"/>
  <c r="T173" i="2" s="1"/>
  <c r="S174" i="2"/>
  <c r="T174" i="2" s="1"/>
  <c r="S184" i="2"/>
  <c r="T184" i="2" s="1"/>
  <c r="S180" i="2"/>
  <c r="T180" i="2" s="1"/>
  <c r="S183" i="2"/>
  <c r="T183" i="2" s="1"/>
  <c r="S181" i="2"/>
  <c r="T181" i="2" s="1"/>
  <c r="K19" i="24"/>
  <c r="L19" i="24" s="1"/>
  <c r="E21" i="26"/>
  <c r="E49" i="26" s="1"/>
  <c r="H21" i="24"/>
  <c r="I21" i="24"/>
  <c r="S96" i="2"/>
  <c r="T96" i="2" s="1"/>
  <c r="S101" i="2"/>
  <c r="T101" i="2" s="1"/>
  <c r="S98" i="2"/>
  <c r="T98" i="2" s="1"/>
  <c r="S104" i="2"/>
  <c r="T104" i="2" s="1"/>
  <c r="S105" i="2"/>
  <c r="T105" i="2" s="1"/>
  <c r="S100" i="2"/>
  <c r="T100" i="2" s="1"/>
  <c r="S102" i="2"/>
  <c r="T102" i="2" s="1"/>
  <c r="S106" i="2"/>
  <c r="T106" i="2" s="1"/>
  <c r="K20" i="24" l="1"/>
  <c r="L20" i="24" s="1"/>
  <c r="E22" i="26"/>
  <c r="E50" i="26" s="1"/>
  <c r="H22" i="24"/>
  <c r="I22" i="24"/>
  <c r="K21" i="24" l="1"/>
  <c r="L21" i="24" s="1"/>
  <c r="E23" i="26"/>
  <c r="E51" i="26" s="1"/>
  <c r="H23" i="24"/>
  <c r="I23" i="24"/>
  <c r="K22" i="24" l="1"/>
  <c r="L22" i="24" s="1"/>
  <c r="E24" i="26"/>
  <c r="E52" i="26" s="1"/>
  <c r="I24" i="24"/>
  <c r="I25" i="24" s="1"/>
  <c r="I26" i="24" s="1"/>
  <c r="H24" i="24"/>
  <c r="H25" i="24" s="1"/>
  <c r="H26" i="24" s="1"/>
  <c r="K23" i="24" l="1"/>
  <c r="E25" i="26"/>
  <c r="E53" i="26" s="1"/>
  <c r="L23" i="24" l="1"/>
  <c r="K24" i="24"/>
  <c r="K25" i="24" s="1"/>
  <c r="E28" i="26" s="1"/>
  <c r="E26" i="26"/>
  <c r="E54" i="26" s="1"/>
  <c r="L25" i="24" l="1"/>
  <c r="K26" i="24"/>
  <c r="E27" i="26"/>
  <c r="L24" i="24"/>
  <c r="L26" i="24" l="1"/>
  <c r="L27" i="24" s="1"/>
  <c r="E29" i="26"/>
  <c r="E57" i="26" s="1"/>
  <c r="E55" i="26"/>
  <c r="E56" i="26"/>
  <c r="E58" i="26" l="1"/>
  <c r="E30" i="26" s="1"/>
  <c r="G13" i="22" l="1"/>
  <c r="E13" i="22"/>
  <c r="H11" i="22"/>
  <c r="H10" i="22"/>
  <c r="H9" i="22"/>
  <c r="H8" i="22"/>
  <c r="H13" i="22" l="1"/>
  <c r="V87" i="4" l="1"/>
  <c r="W87" i="4" s="1"/>
  <c r="W81" i="4"/>
  <c r="X81" i="4" s="1"/>
  <c r="Y81" i="4" s="1"/>
  <c r="Z81" i="4" s="1"/>
  <c r="AA81" i="4" s="1"/>
  <c r="AB81" i="4" s="1"/>
  <c r="AC81" i="4" s="1"/>
  <c r="AD81" i="4" s="1"/>
  <c r="AE81" i="4" s="1"/>
  <c r="AF81" i="4" s="1"/>
  <c r="AG81" i="4" s="1"/>
  <c r="AH81" i="4" s="1"/>
  <c r="AI81" i="4" s="1"/>
  <c r="X87" i="4" l="1"/>
  <c r="Y87" i="4" s="1"/>
  <c r="Z87" i="4" s="1"/>
  <c r="AA87" i="4" s="1"/>
  <c r="AB87" i="4" s="1"/>
  <c r="AC87" i="4" s="1"/>
  <c r="AD87" i="4" s="1"/>
  <c r="AE87" i="4" s="1"/>
  <c r="AF87" i="4" s="1"/>
  <c r="AG87" i="4" s="1"/>
  <c r="AH87" i="4" s="1"/>
  <c r="AI87" i="4" s="1"/>
  <c r="D25" i="12"/>
  <c r="E6" i="12"/>
  <c r="D6" i="12"/>
  <c r="D44" i="12" l="1"/>
  <c r="J25" i="12"/>
  <c r="J44" i="12" l="1"/>
  <c r="H6" i="12" l="1"/>
  <c r="G6" i="12"/>
  <c r="F6" i="12"/>
  <c r="C6" i="12"/>
  <c r="R41" i="2" l="1"/>
  <c r="R53" i="2"/>
  <c r="R49" i="2"/>
  <c r="R45" i="2"/>
  <c r="R65" i="2"/>
  <c r="R64" i="2"/>
  <c r="R61" i="2"/>
  <c r="R60" i="2"/>
  <c r="R57" i="2"/>
  <c r="R80" i="2"/>
  <c r="R79" i="2"/>
  <c r="R78" i="2"/>
  <c r="R77" i="2"/>
  <c r="R76" i="2"/>
  <c r="R75" i="2"/>
  <c r="R74" i="2"/>
  <c r="R73" i="2"/>
  <c r="R72" i="2"/>
  <c r="R71" i="2"/>
  <c r="R70" i="2"/>
  <c r="R67" i="2"/>
  <c r="R66" i="2"/>
  <c r="R63" i="2"/>
  <c r="R62" i="2"/>
  <c r="R59" i="2"/>
  <c r="R58" i="2"/>
  <c r="R54" i="2"/>
  <c r="R52" i="2"/>
  <c r="R51" i="2"/>
  <c r="R50" i="2"/>
  <c r="R48" i="2"/>
  <c r="R47" i="2"/>
  <c r="R46" i="2"/>
  <c r="R44" i="2"/>
  <c r="R40" i="2"/>
  <c r="R39" i="2"/>
  <c r="R38" i="2"/>
  <c r="R37" i="2"/>
  <c r="R36" i="2"/>
  <c r="R35" i="2"/>
  <c r="R34" i="2"/>
  <c r="R33" i="2"/>
  <c r="R32" i="2"/>
  <c r="R31" i="2"/>
  <c r="R28" i="2"/>
  <c r="R27" i="2"/>
  <c r="R26" i="2"/>
  <c r="R25" i="2"/>
  <c r="R24" i="2"/>
  <c r="R23" i="2"/>
  <c r="R22" i="2"/>
  <c r="R21" i="2"/>
  <c r="R20" i="2"/>
  <c r="R19" i="2"/>
  <c r="R18" i="2"/>
  <c r="S21" i="2" l="1"/>
  <c r="T21" i="2" s="1"/>
  <c r="S25" i="2"/>
  <c r="T25" i="2" s="1"/>
  <c r="S35" i="2"/>
  <c r="T35" i="2" s="1"/>
  <c r="S39" i="2"/>
  <c r="T39" i="2" s="1"/>
  <c r="S47" i="2"/>
  <c r="T47" i="2" s="1"/>
  <c r="S52" i="2"/>
  <c r="T52" i="2" s="1"/>
  <c r="S62" i="2"/>
  <c r="T62" i="2" s="1"/>
  <c r="S70" i="2"/>
  <c r="T70" i="2" s="1"/>
  <c r="S74" i="2"/>
  <c r="T74" i="2" s="1"/>
  <c r="S78" i="2"/>
  <c r="T78" i="2" s="1"/>
  <c r="S60" i="2"/>
  <c r="T60" i="2" s="1"/>
  <c r="S45" i="2"/>
  <c r="T45" i="2" s="1"/>
  <c r="S18" i="2"/>
  <c r="T18" i="2" s="1"/>
  <c r="S22" i="2"/>
  <c r="T22" i="2" s="1"/>
  <c r="S26" i="2"/>
  <c r="T26" i="2" s="1"/>
  <c r="S32" i="2"/>
  <c r="T32" i="2" s="1"/>
  <c r="S36" i="2"/>
  <c r="T36" i="2" s="1"/>
  <c r="S40" i="2"/>
  <c r="T40" i="2" s="1"/>
  <c r="S48" i="2"/>
  <c r="T48" i="2" s="1"/>
  <c r="S63" i="2"/>
  <c r="T63" i="2" s="1"/>
  <c r="S71" i="2"/>
  <c r="T71" i="2" s="1"/>
  <c r="S75" i="2"/>
  <c r="T75" i="2" s="1"/>
  <c r="S79" i="2"/>
  <c r="T79" i="2" s="1"/>
  <c r="S61" i="2"/>
  <c r="T61" i="2" s="1"/>
  <c r="S49" i="2"/>
  <c r="T49" i="2" s="1"/>
  <c r="S19" i="2"/>
  <c r="T19" i="2" s="1"/>
  <c r="S23" i="2"/>
  <c r="T23" i="2" s="1"/>
  <c r="S27" i="2"/>
  <c r="T27" i="2" s="1"/>
  <c r="S33" i="2"/>
  <c r="T33" i="2" s="1"/>
  <c r="S37" i="2"/>
  <c r="T37" i="2" s="1"/>
  <c r="S44" i="2"/>
  <c r="T44" i="2" s="1"/>
  <c r="S50" i="2"/>
  <c r="T50" i="2" s="1"/>
  <c r="S58" i="2"/>
  <c r="T58" i="2" s="1"/>
  <c r="S66" i="2"/>
  <c r="T66" i="2" s="1"/>
  <c r="S72" i="2"/>
  <c r="T72" i="2" s="1"/>
  <c r="S76" i="2"/>
  <c r="T76" i="2" s="1"/>
  <c r="S80" i="2"/>
  <c r="T80" i="2" s="1"/>
  <c r="S64" i="2"/>
  <c r="T64" i="2" s="1"/>
  <c r="S53" i="2"/>
  <c r="T53" i="2" s="1"/>
  <c r="S20" i="2"/>
  <c r="T20" i="2" s="1"/>
  <c r="S24" i="2"/>
  <c r="T24" i="2" s="1"/>
  <c r="S28" i="2"/>
  <c r="T28" i="2" s="1"/>
  <c r="S34" i="2"/>
  <c r="T34" i="2" s="1"/>
  <c r="S38" i="2"/>
  <c r="T38" i="2" s="1"/>
  <c r="S46" i="2"/>
  <c r="T46" i="2" s="1"/>
  <c r="S51" i="2"/>
  <c r="T51" i="2" s="1"/>
  <c r="S59" i="2"/>
  <c r="T59" i="2" s="1"/>
  <c r="S67" i="2"/>
  <c r="T67" i="2" s="1"/>
  <c r="S73" i="2"/>
  <c r="T73" i="2" s="1"/>
  <c r="S77" i="2"/>
  <c r="T77" i="2" s="1"/>
  <c r="S57" i="2"/>
  <c r="T57" i="2" s="1"/>
  <c r="S65" i="2"/>
  <c r="T65" i="2" s="1"/>
  <c r="S31" i="2"/>
  <c r="T31" i="2" s="1"/>
  <c r="S41" i="2"/>
  <c r="T41" i="2" s="1"/>
  <c r="S54" i="2"/>
  <c r="T54" i="2" s="1"/>
  <c r="D71" i="2"/>
  <c r="D72" i="2" s="1"/>
  <c r="D73" i="2" s="1"/>
  <c r="D74" i="2" s="1"/>
  <c r="D75" i="2" s="1"/>
  <c r="D76" i="2" s="1"/>
  <c r="D77" i="2" s="1"/>
  <c r="D78" i="2" s="1"/>
  <c r="D79" i="2" s="1"/>
  <c r="D80" i="2" s="1"/>
  <c r="D81" i="2" s="1"/>
  <c r="D82" i="2" s="1"/>
  <c r="D58" i="2"/>
  <c r="D59" i="2" s="1"/>
  <c r="D60" i="2" s="1"/>
  <c r="D61" i="2" s="1"/>
  <c r="D62" i="2" s="1"/>
  <c r="D63" i="2" s="1"/>
  <c r="D64" i="2" s="1"/>
  <c r="D65" i="2" s="1"/>
  <c r="D66" i="2" s="1"/>
  <c r="D67" i="2" s="1"/>
  <c r="D68" i="2" s="1"/>
  <c r="D69" i="2" s="1"/>
  <c r="D32" i="2"/>
  <c r="D33" i="2" s="1"/>
  <c r="D34" i="2" s="1"/>
  <c r="D35" i="2" s="1"/>
  <c r="D36" i="2" s="1"/>
  <c r="D37" i="2" s="1"/>
  <c r="D38" i="2" s="1"/>
  <c r="D39" i="2" s="1"/>
  <c r="D40" i="2" s="1"/>
  <c r="D41" i="2" s="1"/>
  <c r="D42" i="2" s="1"/>
  <c r="D43" i="2" s="1"/>
  <c r="D45" i="2" l="1"/>
  <c r="D46" i="2" s="1"/>
  <c r="D47" i="2" s="1"/>
  <c r="D48" i="2" s="1"/>
  <c r="D49" i="2" s="1"/>
  <c r="D50" i="2" s="1"/>
  <c r="D51" i="2" s="1"/>
  <c r="D52" i="2" s="1"/>
  <c r="D53" i="2" s="1"/>
  <c r="D54" i="2" s="1"/>
  <c r="D55" i="2" s="1"/>
  <c r="D56" i="2" s="1"/>
  <c r="D19" i="2"/>
  <c r="D20" i="2" s="1"/>
  <c r="D21" i="2" s="1"/>
  <c r="D22" i="2" s="1"/>
  <c r="D23" i="2" s="1"/>
  <c r="D24" i="2" s="1"/>
  <c r="D25" i="2" s="1"/>
  <c r="D26" i="2" s="1"/>
  <c r="D27" i="2" s="1"/>
  <c r="D28" i="2" s="1"/>
  <c r="D29" i="2" s="1"/>
  <c r="D30" i="2" s="1"/>
  <c r="C19" i="2" l="1"/>
  <c r="C20" i="2" s="1"/>
  <c r="C21" i="2" s="1"/>
  <c r="C22" i="2" s="1"/>
  <c r="C23" i="2" s="1"/>
  <c r="C24" i="2" s="1"/>
  <c r="C25" i="2" s="1"/>
  <c r="C26" i="2" s="1"/>
  <c r="C27" i="2" s="1"/>
  <c r="C28" i="2" s="1"/>
  <c r="C29" i="2" s="1"/>
  <c r="C30" i="2" s="1"/>
  <c r="C31" i="2" s="1"/>
  <c r="C8" i="12"/>
  <c r="G18" i="12"/>
  <c r="C15" i="12"/>
  <c r="F13" i="12"/>
  <c r="G7" i="12"/>
  <c r="C19" i="12"/>
  <c r="G10" i="12"/>
  <c r="F12" i="12"/>
  <c r="F17" i="12"/>
  <c r="F16" i="12"/>
  <c r="F14" i="12"/>
  <c r="G9" i="12"/>
  <c r="F9" i="12"/>
  <c r="G19" i="12"/>
  <c r="F7" i="12"/>
  <c r="G14" i="12"/>
  <c r="C13" i="12"/>
  <c r="G15" i="12"/>
  <c r="C14" i="12"/>
  <c r="F11" i="12"/>
  <c r="F18" i="12"/>
  <c r="C11" i="12"/>
  <c r="C12" i="12"/>
  <c r="G16" i="12"/>
  <c r="G8" i="12"/>
  <c r="C16" i="12"/>
  <c r="G12" i="12"/>
  <c r="C9" i="12"/>
  <c r="C10" i="12"/>
  <c r="G13" i="12"/>
  <c r="C17" i="12"/>
  <c r="G11" i="12"/>
  <c r="C18" i="12"/>
  <c r="F15" i="12"/>
  <c r="F8" i="12"/>
  <c r="F10" i="12"/>
  <c r="G17" i="12"/>
  <c r="C7" i="12"/>
  <c r="F19" i="12"/>
  <c r="C32" i="2" l="1"/>
  <c r="C33" i="2" s="1"/>
  <c r="C34" i="2" s="1"/>
  <c r="C35" i="2" s="1"/>
  <c r="C36" i="2" s="1"/>
  <c r="C37" i="2" s="1"/>
  <c r="C38" i="2" s="1"/>
  <c r="C39" i="2" s="1"/>
  <c r="C40" i="2" s="1"/>
  <c r="C41" i="2" s="1"/>
  <c r="C42" i="2" s="1"/>
  <c r="C43" i="2" s="1"/>
  <c r="C38" i="12"/>
  <c r="C37" i="12"/>
  <c r="E37" i="12"/>
  <c r="E38" i="12"/>
  <c r="C28" i="12"/>
  <c r="C32" i="12"/>
  <c r="E30" i="12"/>
  <c r="E34" i="12"/>
  <c r="C35" i="12"/>
  <c r="C29" i="12"/>
  <c r="C33" i="12"/>
  <c r="C31" i="12"/>
  <c r="E28" i="12"/>
  <c r="E32" i="12"/>
  <c r="E27" i="12"/>
  <c r="E31" i="12"/>
  <c r="E35" i="12"/>
  <c r="E33" i="12"/>
  <c r="C27" i="12"/>
  <c r="E26" i="12"/>
  <c r="E36" i="12"/>
  <c r="C34" i="12"/>
  <c r="E29" i="12"/>
  <c r="C26" i="12"/>
  <c r="C36" i="12"/>
  <c r="C30" i="12"/>
  <c r="U40" i="4"/>
  <c r="E14" i="3" s="1"/>
  <c r="T40" i="4"/>
  <c r="C14" i="3" s="1"/>
  <c r="U39" i="4"/>
  <c r="E13" i="3" s="1"/>
  <c r="T39" i="4"/>
  <c r="C13" i="3" s="1"/>
  <c r="U38" i="4"/>
  <c r="E12" i="3" s="1"/>
  <c r="T38" i="4"/>
  <c r="C12" i="3" s="1"/>
  <c r="U37" i="4"/>
  <c r="E11" i="3" s="1"/>
  <c r="T37" i="4"/>
  <c r="C11" i="3" s="1"/>
  <c r="E25" i="3"/>
  <c r="F26" i="3" s="1"/>
  <c r="D26" i="3"/>
  <c r="U36" i="4"/>
  <c r="E10" i="3" s="1"/>
  <c r="T36" i="4"/>
  <c r="C10" i="3" s="1"/>
  <c r="E24" i="3"/>
  <c r="U35" i="4"/>
  <c r="E9" i="3" s="1"/>
  <c r="T35" i="4"/>
  <c r="C9" i="3" s="1"/>
  <c r="E23" i="3"/>
  <c r="U34" i="4"/>
  <c r="E8" i="3" s="1"/>
  <c r="T34" i="4"/>
  <c r="C8" i="3" s="1"/>
  <c r="E22" i="3"/>
  <c r="U33" i="4"/>
  <c r="E7" i="3" s="1"/>
  <c r="T33" i="4"/>
  <c r="C7" i="3" s="1"/>
  <c r="E21" i="3"/>
  <c r="U32" i="4"/>
  <c r="E6" i="3" s="1"/>
  <c r="T32" i="4"/>
  <c r="C6" i="3" s="1"/>
  <c r="E20" i="3"/>
  <c r="U31" i="4"/>
  <c r="E5" i="3" s="1"/>
  <c r="T31" i="4"/>
  <c r="C5" i="3" s="1"/>
  <c r="E19" i="3"/>
  <c r="E17" i="3"/>
  <c r="E16" i="3"/>
  <c r="E15" i="3"/>
  <c r="EH26" i="4"/>
  <c r="EG26" i="4"/>
  <c r="EF26" i="4"/>
  <c r="EE26" i="4"/>
  <c r="ED26" i="4"/>
  <c r="EC26" i="4"/>
  <c r="EB26" i="4"/>
  <c r="EA26" i="4"/>
  <c r="DZ26" i="4"/>
  <c r="DY26" i="4"/>
  <c r="DX26" i="4"/>
  <c r="DW26" i="4"/>
  <c r="DV26" i="4"/>
  <c r="DU26" i="4"/>
  <c r="DT26" i="4"/>
  <c r="DS26" i="4"/>
  <c r="DR26" i="4"/>
  <c r="DQ26" i="4"/>
  <c r="DP26" i="4"/>
  <c r="DO26" i="4"/>
  <c r="DN26" i="4"/>
  <c r="DM26" i="4"/>
  <c r="DL26" i="4"/>
  <c r="DK26" i="4"/>
  <c r="DJ26" i="4"/>
  <c r="DI26" i="4"/>
  <c r="DH26" i="4"/>
  <c r="DG26" i="4"/>
  <c r="DF26" i="4"/>
  <c r="DE26" i="4"/>
  <c r="DD26" i="4"/>
  <c r="DC26" i="4"/>
  <c r="DB26" i="4"/>
  <c r="DA26" i="4"/>
  <c r="CZ26" i="4"/>
  <c r="CY26" i="4"/>
  <c r="CX26" i="4"/>
  <c r="CW26" i="4"/>
  <c r="CV26" i="4"/>
  <c r="CU26" i="4"/>
  <c r="CT26" i="4"/>
  <c r="CS26" i="4"/>
  <c r="CR26" i="4"/>
  <c r="CQ26" i="4"/>
  <c r="CP26" i="4"/>
  <c r="CO26" i="4"/>
  <c r="CN26" i="4"/>
  <c r="CM26" i="4"/>
  <c r="CL26" i="4"/>
  <c r="CK26" i="4"/>
  <c r="CJ26" i="4"/>
  <c r="CI26" i="4"/>
  <c r="CH26" i="4"/>
  <c r="CG26" i="4"/>
  <c r="CF26" i="4"/>
  <c r="CE26" i="4"/>
  <c r="CD26" i="4"/>
  <c r="CC26" i="4"/>
  <c r="CB26" i="4"/>
  <c r="CA26" i="4"/>
  <c r="BZ26" i="4"/>
  <c r="BY26" i="4"/>
  <c r="BX26" i="4"/>
  <c r="BW26" i="4"/>
  <c r="BV26" i="4"/>
  <c r="BU26" i="4"/>
  <c r="BT26" i="4"/>
  <c r="BS26" i="4"/>
  <c r="BR26" i="4"/>
  <c r="BQ26" i="4"/>
  <c r="BP26" i="4"/>
  <c r="BO26" i="4"/>
  <c r="BN26" i="4"/>
  <c r="BM26" i="4"/>
  <c r="BL26" i="4"/>
  <c r="BK26" i="4"/>
  <c r="BJ26" i="4"/>
  <c r="BI26" i="4"/>
  <c r="BH26" i="4"/>
  <c r="BG26" i="4"/>
  <c r="BF26" i="4"/>
  <c r="BE26" i="4"/>
  <c r="BD26" i="4"/>
  <c r="BC26" i="4"/>
  <c r="BB26" i="4"/>
  <c r="BA26" i="4"/>
  <c r="AZ26" i="4"/>
  <c r="AY26" i="4"/>
  <c r="AX26" i="4"/>
  <c r="AW26" i="4"/>
  <c r="AV26" i="4"/>
  <c r="AU26" i="4"/>
  <c r="AT26" i="4"/>
  <c r="AS26" i="4"/>
  <c r="AR26" i="4"/>
  <c r="AQ26" i="4"/>
  <c r="AP26" i="4"/>
  <c r="AO26" i="4"/>
  <c r="AN26" i="4"/>
  <c r="AM26" i="4"/>
  <c r="AL26" i="4"/>
  <c r="AK26" i="4"/>
  <c r="AJ26" i="4"/>
  <c r="AI26" i="4"/>
  <c r="AH26" i="4"/>
  <c r="AG26" i="4"/>
  <c r="AF26" i="4"/>
  <c r="AE26" i="4"/>
  <c r="AD26" i="4"/>
  <c r="AC26" i="4"/>
  <c r="AB26" i="4"/>
  <c r="AA26" i="4"/>
  <c r="Z26" i="4"/>
  <c r="Y26" i="4"/>
  <c r="X26" i="4"/>
  <c r="W26" i="4"/>
  <c r="V26" i="4"/>
  <c r="U26" i="4"/>
  <c r="T26" i="4"/>
  <c r="S26" i="4"/>
  <c r="EH18" i="4"/>
  <c r="EG18" i="4"/>
  <c r="EF18" i="4"/>
  <c r="EE18" i="4"/>
  <c r="ED18" i="4"/>
  <c r="EC18" i="4"/>
  <c r="EB18" i="4"/>
  <c r="EA18" i="4"/>
  <c r="DZ18" i="4"/>
  <c r="DY18" i="4"/>
  <c r="DX18" i="4"/>
  <c r="DW18" i="4"/>
  <c r="DV18" i="4"/>
  <c r="DU18" i="4"/>
  <c r="DT18" i="4"/>
  <c r="DS18" i="4"/>
  <c r="DR18" i="4"/>
  <c r="DQ18" i="4"/>
  <c r="DP18" i="4"/>
  <c r="DO18" i="4"/>
  <c r="DN18" i="4"/>
  <c r="DM18" i="4"/>
  <c r="DL18" i="4"/>
  <c r="DK18" i="4"/>
  <c r="DJ18" i="4"/>
  <c r="DI18" i="4"/>
  <c r="DH18" i="4"/>
  <c r="DG18" i="4"/>
  <c r="DF18" i="4"/>
  <c r="DE18" i="4"/>
  <c r="DD18" i="4"/>
  <c r="DC18" i="4"/>
  <c r="DB18" i="4"/>
  <c r="DA18" i="4"/>
  <c r="CZ18" i="4"/>
  <c r="CY18" i="4"/>
  <c r="CX18" i="4"/>
  <c r="CW18" i="4"/>
  <c r="CV18" i="4"/>
  <c r="CU18" i="4"/>
  <c r="CT18" i="4"/>
  <c r="CS18" i="4"/>
  <c r="CR18" i="4"/>
  <c r="CQ18" i="4"/>
  <c r="CP18" i="4"/>
  <c r="CO18" i="4"/>
  <c r="CN18" i="4"/>
  <c r="CM18" i="4"/>
  <c r="CL18" i="4"/>
  <c r="CK18" i="4"/>
  <c r="CJ18" i="4"/>
  <c r="CI18" i="4"/>
  <c r="CH18" i="4"/>
  <c r="CG18" i="4"/>
  <c r="CF18" i="4"/>
  <c r="CE18" i="4"/>
  <c r="CD18" i="4"/>
  <c r="CC18" i="4"/>
  <c r="CB18" i="4"/>
  <c r="CA18" i="4"/>
  <c r="BZ18" i="4"/>
  <c r="BY18" i="4"/>
  <c r="BX18" i="4"/>
  <c r="BW18" i="4"/>
  <c r="BV18" i="4"/>
  <c r="BU18" i="4"/>
  <c r="BT18" i="4"/>
  <c r="BS18" i="4"/>
  <c r="BR18" i="4"/>
  <c r="BQ18" i="4"/>
  <c r="BP18" i="4"/>
  <c r="BO18" i="4"/>
  <c r="BN18" i="4"/>
  <c r="BM18" i="4"/>
  <c r="BL18" i="4"/>
  <c r="BK18" i="4"/>
  <c r="BJ18" i="4"/>
  <c r="BI18" i="4"/>
  <c r="BH18" i="4"/>
  <c r="BG18" i="4"/>
  <c r="BF18" i="4"/>
  <c r="BE18" i="4"/>
  <c r="BD18" i="4"/>
  <c r="BC18" i="4"/>
  <c r="BB18" i="4"/>
  <c r="BA18" i="4"/>
  <c r="AZ18" i="4"/>
  <c r="AY18" i="4"/>
  <c r="AX18" i="4"/>
  <c r="AW18" i="4"/>
  <c r="AV18" i="4"/>
  <c r="AU18" i="4"/>
  <c r="AT18" i="4"/>
  <c r="AS18" i="4"/>
  <c r="AR18" i="4"/>
  <c r="AQ18" i="4"/>
  <c r="AP18" i="4"/>
  <c r="AO18" i="4"/>
  <c r="AN18" i="4"/>
  <c r="AM18" i="4"/>
  <c r="AL18" i="4"/>
  <c r="AK18" i="4"/>
  <c r="AJ18" i="4"/>
  <c r="AI18" i="4"/>
  <c r="AH18" i="4"/>
  <c r="AG18" i="4"/>
  <c r="AF18" i="4"/>
  <c r="AE18" i="4"/>
  <c r="AD18" i="4"/>
  <c r="AC18" i="4"/>
  <c r="AB18" i="4"/>
  <c r="AA18" i="4"/>
  <c r="Z18" i="4"/>
  <c r="Y18" i="4"/>
  <c r="X18" i="4"/>
  <c r="W18" i="4"/>
  <c r="V18" i="4"/>
  <c r="U18" i="4"/>
  <c r="T18" i="4"/>
  <c r="S18" i="4"/>
  <c r="H26" i="3"/>
  <c r="T28" i="26" s="1"/>
  <c r="D25" i="3"/>
  <c r="D22" i="3"/>
  <c r="S24" i="26" s="1"/>
  <c r="E18" i="3"/>
  <c r="G15" i="3"/>
  <c r="G14" i="3"/>
  <c r="G13" i="3"/>
  <c r="G12" i="3"/>
  <c r="G11" i="3"/>
  <c r="G10" i="3"/>
  <c r="G9" i="3"/>
  <c r="G8" i="3"/>
  <c r="G7" i="3"/>
  <c r="G6" i="3"/>
  <c r="G5" i="3"/>
  <c r="J15" i="2"/>
  <c r="J249" i="2" s="1"/>
  <c r="J14" i="2"/>
  <c r="J248" i="2" s="1"/>
  <c r="K196" i="2" s="1"/>
  <c r="J13" i="2"/>
  <c r="J247" i="2" s="1"/>
  <c r="J12" i="2"/>
  <c r="J246" i="2" s="1"/>
  <c r="J11" i="2"/>
  <c r="J245" i="2" s="1"/>
  <c r="J10" i="2"/>
  <c r="J244" i="2" s="1"/>
  <c r="J9" i="2"/>
  <c r="J243" i="2" s="1"/>
  <c r="J8" i="2"/>
  <c r="J242" i="2" s="1"/>
  <c r="J7" i="2"/>
  <c r="J241" i="2" s="1"/>
  <c r="J6" i="2"/>
  <c r="J240" i="2" s="1"/>
  <c r="K188" i="2" s="1"/>
  <c r="J5" i="2"/>
  <c r="J239" i="2" s="1"/>
  <c r="K187" i="2" s="1"/>
  <c r="C44" i="2" l="1"/>
  <c r="C45" i="2" s="1"/>
  <c r="C46" i="2" s="1"/>
  <c r="C47" i="2" s="1"/>
  <c r="C48" i="2" s="1"/>
  <c r="C49" i="2" s="1"/>
  <c r="C50" i="2" s="1"/>
  <c r="C51" i="2" s="1"/>
  <c r="C52" i="2" s="1"/>
  <c r="C53" i="2" s="1"/>
  <c r="C54" i="2" s="1"/>
  <c r="C55" i="2" s="1"/>
  <c r="C56" i="2" s="1"/>
  <c r="K229" i="2"/>
  <c r="K190" i="2"/>
  <c r="K233" i="2"/>
  <c r="K194" i="2"/>
  <c r="K230" i="2"/>
  <c r="K191" i="2"/>
  <c r="K234" i="2"/>
  <c r="K195" i="2"/>
  <c r="K231" i="2"/>
  <c r="K192" i="2"/>
  <c r="K228" i="2"/>
  <c r="K189" i="2"/>
  <c r="K232" i="2"/>
  <c r="K193" i="2"/>
  <c r="K236" i="2"/>
  <c r="K197" i="2"/>
  <c r="K235" i="2"/>
  <c r="K227" i="2"/>
  <c r="K226" i="2"/>
  <c r="O239" i="2"/>
  <c r="P239" i="2" s="1"/>
  <c r="Q239" i="2" s="1"/>
  <c r="R239" i="2" s="1"/>
  <c r="S239" i="2" s="1"/>
  <c r="I36" i="12"/>
  <c r="K36" i="12"/>
  <c r="F27" i="26"/>
  <c r="J262" i="2"/>
  <c r="D17" i="12" s="1"/>
  <c r="J255" i="2"/>
  <c r="F20" i="26"/>
  <c r="J259" i="2"/>
  <c r="F24" i="26"/>
  <c r="F19" i="26"/>
  <c r="J254" i="2"/>
  <c r="J252" i="2"/>
  <c r="F17" i="26"/>
  <c r="J256" i="2"/>
  <c r="J260" i="2"/>
  <c r="F23" i="26"/>
  <c r="J258" i="2"/>
  <c r="F18" i="26"/>
  <c r="J253" i="2"/>
  <c r="J257" i="2"/>
  <c r="J261" i="2"/>
  <c r="F26" i="26"/>
  <c r="S27" i="26"/>
  <c r="S28" i="26"/>
  <c r="S26" i="3"/>
  <c r="I37" i="12"/>
  <c r="I38" i="12"/>
  <c r="K37" i="12"/>
  <c r="E56" i="12"/>
  <c r="K38" i="12"/>
  <c r="E57" i="12"/>
  <c r="I30" i="12"/>
  <c r="I28" i="12"/>
  <c r="K35" i="12"/>
  <c r="K32" i="12"/>
  <c r="K33" i="12"/>
  <c r="K28" i="12"/>
  <c r="I35" i="12"/>
  <c r="K31" i="12"/>
  <c r="I34" i="12"/>
  <c r="I29" i="12"/>
  <c r="I31" i="12"/>
  <c r="K34" i="12"/>
  <c r="K29" i="12"/>
  <c r="I27" i="12"/>
  <c r="K27" i="12"/>
  <c r="I33" i="12"/>
  <c r="K30" i="12"/>
  <c r="I32" i="12"/>
  <c r="F21" i="26"/>
  <c r="F25" i="26"/>
  <c r="O8" i="2"/>
  <c r="P8" i="2" s="1"/>
  <c r="O13" i="2"/>
  <c r="P13" i="2" s="1"/>
  <c r="O6" i="2"/>
  <c r="O5" i="2"/>
  <c r="P5" i="2" s="1"/>
  <c r="L12" i="2"/>
  <c r="O9" i="2"/>
  <c r="P9" i="2" s="1"/>
  <c r="O10" i="2"/>
  <c r="H18" i="3"/>
  <c r="T20" i="26" s="1"/>
  <c r="H8" i="3"/>
  <c r="H12" i="3"/>
  <c r="T17" i="26"/>
  <c r="H22" i="3"/>
  <c r="H25" i="3"/>
  <c r="S25" i="3" s="1"/>
  <c r="H9" i="3"/>
  <c r="H13" i="3"/>
  <c r="H16" i="3"/>
  <c r="H19" i="3"/>
  <c r="T21" i="26" s="1"/>
  <c r="H6" i="3"/>
  <c r="H10" i="3"/>
  <c r="H14" i="3"/>
  <c r="H17" i="3"/>
  <c r="T19" i="26" s="1"/>
  <c r="H20" i="3"/>
  <c r="T22" i="26" s="1"/>
  <c r="H23" i="3"/>
  <c r="T25" i="26" s="1"/>
  <c r="H7" i="3"/>
  <c r="H11" i="3"/>
  <c r="F18" i="3"/>
  <c r="H21" i="3"/>
  <c r="T23" i="26" s="1"/>
  <c r="H24" i="3"/>
  <c r="T26" i="26" s="1"/>
  <c r="D11" i="3"/>
  <c r="D13" i="3"/>
  <c r="D8" i="3"/>
  <c r="D10" i="3"/>
  <c r="D7" i="3"/>
  <c r="D6" i="3"/>
  <c r="D12" i="3"/>
  <c r="F14" i="3"/>
  <c r="F12" i="3"/>
  <c r="F11" i="3"/>
  <c r="F8" i="3"/>
  <c r="F7" i="3"/>
  <c r="F6" i="3"/>
  <c r="F9" i="3"/>
  <c r="D19" i="3"/>
  <c r="S21" i="26" s="1"/>
  <c r="D20" i="3"/>
  <c r="S22" i="26" s="1"/>
  <c r="D16" i="3"/>
  <c r="S18" i="26" s="1"/>
  <c r="D17" i="3"/>
  <c r="F25" i="3"/>
  <c r="F16" i="3"/>
  <c r="K16" i="3" s="1"/>
  <c r="F17" i="3"/>
  <c r="F24" i="3"/>
  <c r="F19" i="3"/>
  <c r="F21" i="3"/>
  <c r="F22" i="3"/>
  <c r="F15" i="3"/>
  <c r="F20" i="3"/>
  <c r="F23" i="3"/>
  <c r="L14" i="2"/>
  <c r="O12" i="2"/>
  <c r="O14" i="2"/>
  <c r="L6" i="2"/>
  <c r="L8" i="2"/>
  <c r="L10" i="2"/>
  <c r="O7" i="2"/>
  <c r="O15" i="2"/>
  <c r="L15" i="2"/>
  <c r="D23" i="3"/>
  <c r="S25" i="26" s="1"/>
  <c r="D24" i="3"/>
  <c r="D14" i="3"/>
  <c r="L7" i="2"/>
  <c r="O11" i="2"/>
  <c r="S17" i="26"/>
  <c r="D21" i="3"/>
  <c r="S23" i="26" s="1"/>
  <c r="L11" i="2"/>
  <c r="D9" i="3"/>
  <c r="F10" i="3"/>
  <c r="F13" i="3"/>
  <c r="D18" i="3"/>
  <c r="L5" i="2"/>
  <c r="L9" i="2"/>
  <c r="L13" i="2"/>
  <c r="C57" i="2" l="1"/>
  <c r="C58" i="2" s="1"/>
  <c r="C59" i="2" s="1"/>
  <c r="C60" i="2" s="1"/>
  <c r="C61" i="2" s="1"/>
  <c r="C62" i="2" s="1"/>
  <c r="C63" i="2" s="1"/>
  <c r="C64" i="2" s="1"/>
  <c r="C65" i="2" s="1"/>
  <c r="C66" i="2" s="1"/>
  <c r="C67" i="2" s="1"/>
  <c r="C68" i="2" s="1"/>
  <c r="C69" i="2" s="1"/>
  <c r="D11" i="12"/>
  <c r="D16" i="12"/>
  <c r="D13" i="12"/>
  <c r="D8" i="12"/>
  <c r="D10" i="12"/>
  <c r="D12" i="12"/>
  <c r="D14" i="12"/>
  <c r="D15" i="12"/>
  <c r="D9" i="12"/>
  <c r="K39" i="12"/>
  <c r="D7" i="12"/>
  <c r="O252" i="2"/>
  <c r="I39" i="12"/>
  <c r="K6" i="2"/>
  <c r="K74" i="2"/>
  <c r="K139" i="2"/>
  <c r="K204" i="2"/>
  <c r="K61" i="2"/>
  <c r="K165" i="2"/>
  <c r="K126" i="2"/>
  <c r="K113" i="2"/>
  <c r="K178" i="2"/>
  <c r="K100" i="2"/>
  <c r="K152" i="2"/>
  <c r="K87" i="2"/>
  <c r="K217" i="2"/>
  <c r="O243" i="2"/>
  <c r="P243" i="2" s="1"/>
  <c r="Q243" i="2" s="1"/>
  <c r="R243" i="2" s="1"/>
  <c r="S243" i="2" s="1"/>
  <c r="K216" i="2"/>
  <c r="K73" i="2"/>
  <c r="K138" i="2"/>
  <c r="K60" i="2"/>
  <c r="K125" i="2"/>
  <c r="K203" i="2"/>
  <c r="K164" i="2"/>
  <c r="K86" i="2"/>
  <c r="K151" i="2"/>
  <c r="K99" i="2"/>
  <c r="K112" i="2"/>
  <c r="K177" i="2"/>
  <c r="O242" i="2"/>
  <c r="P242" i="2" s="1"/>
  <c r="Q242" i="2" s="1"/>
  <c r="R242" i="2" s="1"/>
  <c r="S242" i="2" s="1"/>
  <c r="K140" i="2"/>
  <c r="K205" i="2"/>
  <c r="K62" i="2"/>
  <c r="K127" i="2"/>
  <c r="K75" i="2"/>
  <c r="K114" i="2"/>
  <c r="K166" i="2"/>
  <c r="K179" i="2"/>
  <c r="K101" i="2"/>
  <c r="K88" i="2"/>
  <c r="K218" i="2"/>
  <c r="K153" i="2"/>
  <c r="O244" i="2"/>
  <c r="P244" i="2" s="1"/>
  <c r="Q244" i="2" s="1"/>
  <c r="R244" i="2" s="1"/>
  <c r="S244" i="2" s="1"/>
  <c r="K183" i="2"/>
  <c r="K118" i="2"/>
  <c r="K170" i="2"/>
  <c r="K79" i="2"/>
  <c r="K105" i="2"/>
  <c r="K144" i="2"/>
  <c r="K209" i="2"/>
  <c r="K66" i="2"/>
  <c r="K92" i="2"/>
  <c r="K222" i="2"/>
  <c r="K157" i="2"/>
  <c r="K131" i="2"/>
  <c r="O248" i="2"/>
  <c r="P248" i="2" s="1"/>
  <c r="Q248" i="2" s="1"/>
  <c r="R248" i="2" s="1"/>
  <c r="S248" i="2" s="1"/>
  <c r="K180" i="2"/>
  <c r="K206" i="2"/>
  <c r="K63" i="2"/>
  <c r="K128" i="2"/>
  <c r="K115" i="2"/>
  <c r="K141" i="2"/>
  <c r="K219" i="2"/>
  <c r="K89" i="2"/>
  <c r="K102" i="2"/>
  <c r="K167" i="2"/>
  <c r="K154" i="2"/>
  <c r="K76" i="2"/>
  <c r="O245" i="2"/>
  <c r="P245" i="2" s="1"/>
  <c r="Q245" i="2" s="1"/>
  <c r="R245" i="2" s="1"/>
  <c r="S245" i="2" s="1"/>
  <c r="K176" i="2"/>
  <c r="K150" i="2"/>
  <c r="K72" i="2"/>
  <c r="K202" i="2"/>
  <c r="K59" i="2"/>
  <c r="K124" i="2"/>
  <c r="K98" i="2"/>
  <c r="K163" i="2"/>
  <c r="K85" i="2"/>
  <c r="K111" i="2"/>
  <c r="K137" i="2"/>
  <c r="K215" i="2"/>
  <c r="O241" i="2"/>
  <c r="P241" i="2" s="1"/>
  <c r="Q241" i="2" s="1"/>
  <c r="R241" i="2" s="1"/>
  <c r="S241" i="2" s="1"/>
  <c r="K184" i="2"/>
  <c r="K119" i="2"/>
  <c r="K145" i="2"/>
  <c r="K93" i="2"/>
  <c r="K106" i="2"/>
  <c r="K171" i="2"/>
  <c r="K210" i="2"/>
  <c r="K132" i="2"/>
  <c r="K158" i="2"/>
  <c r="K80" i="2"/>
  <c r="K223" i="2"/>
  <c r="K67" i="2"/>
  <c r="O249" i="2"/>
  <c r="P249" i="2" s="1"/>
  <c r="Q249" i="2" s="1"/>
  <c r="R249" i="2" s="1"/>
  <c r="S249" i="2" s="1"/>
  <c r="J17" i="2"/>
  <c r="J251" i="2" s="1"/>
  <c r="K199" i="2" s="1"/>
  <c r="F22" i="26"/>
  <c r="F30" i="26" s="1"/>
  <c r="K123" i="2"/>
  <c r="K84" i="2"/>
  <c r="K214" i="2"/>
  <c r="K149" i="2"/>
  <c r="K136" i="2"/>
  <c r="K201" i="2"/>
  <c r="K58" i="2"/>
  <c r="K71" i="2"/>
  <c r="K97" i="2"/>
  <c r="K175" i="2"/>
  <c r="K110" i="2"/>
  <c r="K162" i="2"/>
  <c r="O240" i="2"/>
  <c r="P240" i="2" s="1"/>
  <c r="Q240" i="2" s="1"/>
  <c r="R240" i="2" s="1"/>
  <c r="S240" i="2" s="1"/>
  <c r="K130" i="2"/>
  <c r="K169" i="2"/>
  <c r="K182" i="2"/>
  <c r="K104" i="2"/>
  <c r="K156" i="2"/>
  <c r="K65" i="2"/>
  <c r="K117" i="2"/>
  <c r="K78" i="2"/>
  <c r="K143" i="2"/>
  <c r="K91" i="2"/>
  <c r="K221" i="2"/>
  <c r="K208" i="2"/>
  <c r="O247" i="2"/>
  <c r="P247" i="2" s="1"/>
  <c r="Q247" i="2" s="1"/>
  <c r="R247" i="2" s="1"/>
  <c r="S247" i="2" s="1"/>
  <c r="K57" i="2"/>
  <c r="K83" i="2"/>
  <c r="K213" i="2"/>
  <c r="K70" i="2"/>
  <c r="K135" i="2"/>
  <c r="K200" i="2"/>
  <c r="K148" i="2"/>
  <c r="K109" i="2"/>
  <c r="K122" i="2"/>
  <c r="K174" i="2"/>
  <c r="K161" i="2"/>
  <c r="K96" i="2"/>
  <c r="K220" i="2"/>
  <c r="K155" i="2"/>
  <c r="K64" i="2"/>
  <c r="K129" i="2"/>
  <c r="K116" i="2"/>
  <c r="K181" i="2"/>
  <c r="K207" i="2"/>
  <c r="K77" i="2"/>
  <c r="K103" i="2"/>
  <c r="K168" i="2"/>
  <c r="K90" i="2"/>
  <c r="K142" i="2"/>
  <c r="O246" i="2"/>
  <c r="P246" i="2" s="1"/>
  <c r="Q246" i="2" s="1"/>
  <c r="R246" i="2" s="1"/>
  <c r="S246" i="2" s="1"/>
  <c r="D76" i="12"/>
  <c r="F75" i="12"/>
  <c r="F76" i="12"/>
  <c r="K57" i="12"/>
  <c r="S24" i="3"/>
  <c r="S26" i="26"/>
  <c r="S17" i="3"/>
  <c r="S19" i="26"/>
  <c r="T27" i="26"/>
  <c r="S18" i="3"/>
  <c r="S20" i="26"/>
  <c r="L16" i="3"/>
  <c r="T18" i="26"/>
  <c r="S22" i="3"/>
  <c r="T24" i="26"/>
  <c r="S23" i="3"/>
  <c r="S19" i="3"/>
  <c r="S15" i="3"/>
  <c r="J16" i="3"/>
  <c r="J17" i="3" s="1"/>
  <c r="S16" i="3"/>
  <c r="S21" i="3"/>
  <c r="S20" i="3"/>
  <c r="K13" i="2"/>
  <c r="K5" i="2"/>
  <c r="K7" i="2"/>
  <c r="K10" i="2"/>
  <c r="K15" i="2"/>
  <c r="K8" i="2"/>
  <c r="K14" i="2"/>
  <c r="K9" i="2"/>
  <c r="K12" i="2"/>
  <c r="K11" i="2"/>
  <c r="K40" i="2"/>
  <c r="K53" i="2"/>
  <c r="K27" i="2"/>
  <c r="K45" i="2"/>
  <c r="K19" i="2"/>
  <c r="K32" i="2"/>
  <c r="K22" i="2"/>
  <c r="K48" i="2"/>
  <c r="K35" i="2"/>
  <c r="K25" i="2"/>
  <c r="K51" i="2"/>
  <c r="K38" i="2"/>
  <c r="K24" i="2"/>
  <c r="K50" i="2"/>
  <c r="K37" i="2"/>
  <c r="K23" i="2"/>
  <c r="K49" i="2"/>
  <c r="K36" i="2"/>
  <c r="K52" i="2"/>
  <c r="K26" i="2"/>
  <c r="K39" i="2"/>
  <c r="K31" i="2"/>
  <c r="K44" i="2"/>
  <c r="K18" i="2"/>
  <c r="K47" i="2"/>
  <c r="K34" i="2"/>
  <c r="K21" i="2"/>
  <c r="K41" i="2"/>
  <c r="K54" i="2"/>
  <c r="K28" i="2"/>
  <c r="K33" i="2"/>
  <c r="K46" i="2"/>
  <c r="K20" i="2"/>
  <c r="P14" i="2"/>
  <c r="Q14" i="2" s="1"/>
  <c r="R14" i="2" s="1"/>
  <c r="S14" i="2" s="1"/>
  <c r="P10" i="2"/>
  <c r="Q10" i="2" s="1"/>
  <c r="R10" i="2" s="1"/>
  <c r="S10" i="2" s="1"/>
  <c r="P12" i="2"/>
  <c r="Q12" i="2" s="1"/>
  <c r="R12" i="2" s="1"/>
  <c r="S12" i="2" s="1"/>
  <c r="P6" i="2"/>
  <c r="Q6" i="2" s="1"/>
  <c r="R6" i="2" s="1"/>
  <c r="S6" i="2" s="1"/>
  <c r="K17" i="3"/>
  <c r="K18" i="3" s="1"/>
  <c r="K19" i="3" s="1"/>
  <c r="K20" i="3" s="1"/>
  <c r="K21" i="3" s="1"/>
  <c r="K22" i="3" s="1"/>
  <c r="K23" i="3" s="1"/>
  <c r="K24" i="3" s="1"/>
  <c r="K25" i="3" s="1"/>
  <c r="K26" i="3" s="1"/>
  <c r="K27" i="3" s="1"/>
  <c r="L17" i="3"/>
  <c r="Q13" i="2"/>
  <c r="R13" i="2" s="1"/>
  <c r="S13" i="2" s="1"/>
  <c r="Q5" i="2"/>
  <c r="R5" i="2" s="1"/>
  <c r="S5" i="2" s="1"/>
  <c r="P11" i="2"/>
  <c r="Q9" i="2"/>
  <c r="R9" i="2" s="1"/>
  <c r="S9" i="2" s="1"/>
  <c r="Q8" i="2"/>
  <c r="R8" i="2" s="1"/>
  <c r="S8" i="2" s="1"/>
  <c r="P15" i="2"/>
  <c r="P7" i="2"/>
  <c r="C70" i="2" l="1"/>
  <c r="C71" i="2" s="1"/>
  <c r="C72" i="2" s="1"/>
  <c r="C73" i="2" s="1"/>
  <c r="C74" i="2" s="1"/>
  <c r="C75" i="2" s="1"/>
  <c r="C76" i="2" s="1"/>
  <c r="C77" i="2" s="1"/>
  <c r="C78" i="2" s="1"/>
  <c r="C79" i="2" s="1"/>
  <c r="C80" i="2" s="1"/>
  <c r="C81" i="2" s="1"/>
  <c r="C82" i="2" s="1"/>
  <c r="K245" i="2"/>
  <c r="K242" i="2"/>
  <c r="K239" i="2"/>
  <c r="K246" i="2"/>
  <c r="K247" i="2"/>
  <c r="K212" i="2"/>
  <c r="K238" i="2"/>
  <c r="K240" i="2"/>
  <c r="K249" i="2"/>
  <c r="K243" i="2"/>
  <c r="K244" i="2"/>
  <c r="K248" i="2"/>
  <c r="K241" i="2"/>
  <c r="J16" i="2"/>
  <c r="J250" i="2" s="1"/>
  <c r="K198" i="2" s="1"/>
  <c r="O17" i="2"/>
  <c r="P17" i="2" s="1"/>
  <c r="Q17" i="2" s="1"/>
  <c r="K17" i="2"/>
  <c r="J264" i="2"/>
  <c r="L17" i="2"/>
  <c r="H76" i="12"/>
  <c r="T16" i="3"/>
  <c r="U16" i="3" s="1"/>
  <c r="K256" i="2"/>
  <c r="K257" i="2"/>
  <c r="K260" i="2"/>
  <c r="K258" i="2"/>
  <c r="K255" i="2"/>
  <c r="K261" i="2"/>
  <c r="K254" i="2"/>
  <c r="K253" i="2"/>
  <c r="K259" i="2"/>
  <c r="K262" i="2"/>
  <c r="K252" i="2"/>
  <c r="J18" i="3"/>
  <c r="L18" i="3"/>
  <c r="H2" i="3"/>
  <c r="Q7" i="2"/>
  <c r="R7" i="2" s="1"/>
  <c r="S7" i="2" s="1"/>
  <c r="Q15" i="2"/>
  <c r="R15" i="2" s="1"/>
  <c r="S15" i="2" s="1"/>
  <c r="Q11" i="2"/>
  <c r="R11" i="2" s="1"/>
  <c r="S11" i="2" s="1"/>
  <c r="C83" i="2" l="1"/>
  <c r="C84" i="2" s="1"/>
  <c r="C85" i="2" s="1"/>
  <c r="C86" i="2" s="1"/>
  <c r="C87" i="2" s="1"/>
  <c r="C88" i="2" s="1"/>
  <c r="C89" i="2" s="1"/>
  <c r="C90" i="2" s="1"/>
  <c r="C91" i="2" s="1"/>
  <c r="C92" i="2" s="1"/>
  <c r="C93" i="2" s="1"/>
  <c r="C94" i="2" s="1"/>
  <c r="C95" i="2" s="1"/>
  <c r="L16" i="2"/>
  <c r="K211" i="2"/>
  <c r="K237" i="2"/>
  <c r="O16" i="2"/>
  <c r="P16" i="2" s="1"/>
  <c r="Q16" i="2" s="1"/>
  <c r="J263" i="2"/>
  <c r="O263" i="2" s="1"/>
  <c r="P263" i="2" s="1"/>
  <c r="K16" i="2"/>
  <c r="T17" i="3"/>
  <c r="U17" i="3" s="1"/>
  <c r="D19" i="12"/>
  <c r="H19" i="12" s="1"/>
  <c r="I19" i="12" s="1"/>
  <c r="O264" i="2"/>
  <c r="P264" i="2" s="1"/>
  <c r="K225" i="2"/>
  <c r="K56" i="2"/>
  <c r="K186" i="2"/>
  <c r="K147" i="2"/>
  <c r="K121" i="2"/>
  <c r="K30" i="2"/>
  <c r="K160" i="2"/>
  <c r="K95" i="2"/>
  <c r="K43" i="2"/>
  <c r="O251" i="2"/>
  <c r="P251" i="2" s="1"/>
  <c r="Q251" i="2" s="1"/>
  <c r="R251" i="2" s="1"/>
  <c r="S251" i="2" s="1"/>
  <c r="K108" i="2"/>
  <c r="K82" i="2"/>
  <c r="K134" i="2"/>
  <c r="K173" i="2"/>
  <c r="K69" i="2"/>
  <c r="F29" i="26"/>
  <c r="R17" i="2"/>
  <c r="S17" i="2" s="1"/>
  <c r="K159" i="2"/>
  <c r="K29" i="2"/>
  <c r="K94" i="2"/>
  <c r="K81" i="2"/>
  <c r="K133" i="2"/>
  <c r="K120" i="2"/>
  <c r="O250" i="2"/>
  <c r="P250" i="2" s="1"/>
  <c r="Q250" i="2" s="1"/>
  <c r="R250" i="2" s="1"/>
  <c r="S250" i="2" s="1"/>
  <c r="K185" i="2"/>
  <c r="K42" i="2"/>
  <c r="K146" i="2"/>
  <c r="K224" i="2"/>
  <c r="K55" i="2"/>
  <c r="K107" i="2"/>
  <c r="K68" i="2"/>
  <c r="K172" i="2"/>
  <c r="F28" i="26"/>
  <c r="M16" i="3"/>
  <c r="U18" i="26" s="1"/>
  <c r="M27" i="3"/>
  <c r="U29" i="26" s="1"/>
  <c r="M26" i="3"/>
  <c r="U28" i="26" s="1"/>
  <c r="L19" i="3"/>
  <c r="J19" i="3"/>
  <c r="M8" i="3"/>
  <c r="M9" i="3"/>
  <c r="M19" i="3"/>
  <c r="U21" i="26" s="1"/>
  <c r="M11" i="3"/>
  <c r="M13" i="3"/>
  <c r="M14" i="3"/>
  <c r="M21" i="3"/>
  <c r="U23" i="26" s="1"/>
  <c r="M23" i="3"/>
  <c r="U25" i="26" s="1"/>
  <c r="M25" i="3"/>
  <c r="U27" i="26" s="1"/>
  <c r="M24" i="3"/>
  <c r="U26" i="26" s="1"/>
  <c r="M6" i="3"/>
  <c r="M17" i="3"/>
  <c r="U19" i="26" s="1"/>
  <c r="M10" i="3"/>
  <c r="M15" i="3"/>
  <c r="U17" i="26" s="1"/>
  <c r="M20" i="3"/>
  <c r="U22" i="26" s="1"/>
  <c r="M7" i="3"/>
  <c r="M18" i="3"/>
  <c r="U20" i="26" s="1"/>
  <c r="M22" i="3"/>
  <c r="U24" i="26" s="1"/>
  <c r="M12" i="3"/>
  <c r="T18" i="3" l="1"/>
  <c r="U18" i="3" s="1"/>
  <c r="C96" i="2"/>
  <c r="C97" i="2" s="1"/>
  <c r="C98" i="2" s="1"/>
  <c r="C99" i="2" s="1"/>
  <c r="C100" i="2" s="1"/>
  <c r="C101" i="2" s="1"/>
  <c r="C102" i="2" s="1"/>
  <c r="C103" i="2" s="1"/>
  <c r="C104" i="2" s="1"/>
  <c r="C105" i="2" s="1"/>
  <c r="C106" i="2" s="1"/>
  <c r="C107" i="2" s="1"/>
  <c r="C108" i="2" s="1"/>
  <c r="R16" i="2"/>
  <c r="S16" i="2" s="1"/>
  <c r="K251" i="2"/>
  <c r="K1" i="2"/>
  <c r="L1" i="26" s="1"/>
  <c r="L2" i="26" s="1"/>
  <c r="K250" i="2"/>
  <c r="D18" i="12"/>
  <c r="H18" i="12" s="1"/>
  <c r="I18" i="12" s="1"/>
  <c r="C56" i="12" s="1"/>
  <c r="Q263" i="2"/>
  <c r="Q264" i="2"/>
  <c r="R264" i="2" s="1"/>
  <c r="S264" i="2" s="1"/>
  <c r="T264" i="2" s="1"/>
  <c r="J19" i="12"/>
  <c r="C57" i="12"/>
  <c r="K264" i="2"/>
  <c r="K263" i="2"/>
  <c r="J20" i="3"/>
  <c r="T19" i="3"/>
  <c r="U19" i="3" s="1"/>
  <c r="L20" i="3"/>
  <c r="E7" i="12"/>
  <c r="D26" i="12" s="1"/>
  <c r="N16" i="3"/>
  <c r="O16" i="3" s="1"/>
  <c r="N17" i="26" l="1"/>
  <c r="N23" i="26"/>
  <c r="N25" i="26"/>
  <c r="O27" i="26"/>
  <c r="N18" i="26"/>
  <c r="I18" i="26" s="1"/>
  <c r="O19" i="26"/>
  <c r="P21" i="26"/>
  <c r="N21" i="26"/>
  <c r="P29" i="26"/>
  <c r="O26" i="26"/>
  <c r="P25" i="26"/>
  <c r="P17" i="26"/>
  <c r="P19" i="26"/>
  <c r="P18" i="26"/>
  <c r="K18" i="26" s="1"/>
  <c r="C18" i="26" s="1"/>
  <c r="C46" i="26" s="1"/>
  <c r="N19" i="26"/>
  <c r="N22" i="26"/>
  <c r="N20" i="26"/>
  <c r="N26" i="26"/>
  <c r="N29" i="26"/>
  <c r="O29" i="26"/>
  <c r="O24" i="26"/>
  <c r="P23" i="26"/>
  <c r="N27" i="26"/>
  <c r="P26" i="26"/>
  <c r="O21" i="26"/>
  <c r="P28" i="26"/>
  <c r="P20" i="26"/>
  <c r="O17" i="26"/>
  <c r="N24" i="26"/>
  <c r="O25" i="26"/>
  <c r="O23" i="26"/>
  <c r="P24" i="26"/>
  <c r="P22" i="26"/>
  <c r="P27" i="26"/>
  <c r="O18" i="26"/>
  <c r="J18" i="26" s="1"/>
  <c r="O20" i="26"/>
  <c r="O22" i="26"/>
  <c r="N28" i="26"/>
  <c r="O28" i="26"/>
  <c r="C109" i="2"/>
  <c r="C110" i="2" s="1"/>
  <c r="C111" i="2" s="1"/>
  <c r="C112" i="2" s="1"/>
  <c r="C113" i="2" s="1"/>
  <c r="C114" i="2" s="1"/>
  <c r="C115" i="2" s="1"/>
  <c r="C116" i="2" s="1"/>
  <c r="C117" i="2" s="1"/>
  <c r="C118" i="2" s="1"/>
  <c r="C119" i="2" s="1"/>
  <c r="C120" i="2" s="1"/>
  <c r="C121" i="2" s="1"/>
  <c r="R263" i="2"/>
  <c r="S263" i="2" s="1"/>
  <c r="T263" i="2" s="1"/>
  <c r="I57" i="12"/>
  <c r="J18" i="12"/>
  <c r="T20" i="3"/>
  <c r="U20" i="3" s="1"/>
  <c r="L21" i="3"/>
  <c r="J21" i="3"/>
  <c r="T6" i="2"/>
  <c r="D18" i="26"/>
  <c r="D46" i="26" s="1"/>
  <c r="N17" i="3"/>
  <c r="O17" i="3" s="1"/>
  <c r="J19" i="26" l="1"/>
  <c r="J20" i="26" s="1"/>
  <c r="J21" i="26" s="1"/>
  <c r="J22" i="26" s="1"/>
  <c r="J23" i="26" s="1"/>
  <c r="J24" i="26" s="1"/>
  <c r="J25" i="26" s="1"/>
  <c r="J26" i="26" s="1"/>
  <c r="J27" i="26" s="1"/>
  <c r="J28" i="26" s="1"/>
  <c r="J29" i="26" s="1"/>
  <c r="I19" i="26"/>
  <c r="I20" i="26" s="1"/>
  <c r="I21" i="26" s="1"/>
  <c r="I22" i="26" s="1"/>
  <c r="I23" i="26" s="1"/>
  <c r="I24" i="26" s="1"/>
  <c r="I25" i="26" s="1"/>
  <c r="I26" i="26" s="1"/>
  <c r="I27" i="26" s="1"/>
  <c r="I28" i="26" s="1"/>
  <c r="I29" i="26" s="1"/>
  <c r="K19" i="26"/>
  <c r="K20" i="26" s="1"/>
  <c r="C122" i="2"/>
  <c r="C123" i="2" s="1"/>
  <c r="C124" i="2" s="1"/>
  <c r="C125" i="2" s="1"/>
  <c r="C126" i="2" s="1"/>
  <c r="C127" i="2" s="1"/>
  <c r="C128" i="2" s="1"/>
  <c r="C129" i="2" s="1"/>
  <c r="C130" i="2" s="1"/>
  <c r="C131" i="2" s="1"/>
  <c r="C132" i="2" s="1"/>
  <c r="C133" i="2" s="1"/>
  <c r="C134" i="2" s="1"/>
  <c r="T7" i="2"/>
  <c r="D19" i="26"/>
  <c r="D47" i="26" s="1"/>
  <c r="L22" i="3"/>
  <c r="J22" i="3"/>
  <c r="T21" i="3"/>
  <c r="U21" i="3" s="1"/>
  <c r="N18" i="3"/>
  <c r="O18" i="3" s="1"/>
  <c r="C19" i="26" l="1"/>
  <c r="C47" i="26" s="1"/>
  <c r="C135" i="2"/>
  <c r="C136" i="2" s="1"/>
  <c r="C137" i="2" s="1"/>
  <c r="C138" i="2" s="1"/>
  <c r="C139" i="2" s="1"/>
  <c r="C140" i="2" s="1"/>
  <c r="C141" i="2" s="1"/>
  <c r="C142" i="2" s="1"/>
  <c r="C143" i="2" s="1"/>
  <c r="C144" i="2" s="1"/>
  <c r="C145" i="2" s="1"/>
  <c r="C146" i="2" s="1"/>
  <c r="C147" i="2" s="1"/>
  <c r="C148" i="2" s="1"/>
  <c r="K21" i="26"/>
  <c r="C20" i="26"/>
  <c r="E8" i="12"/>
  <c r="L23" i="3"/>
  <c r="J23" i="3"/>
  <c r="T8" i="2"/>
  <c r="D20" i="26"/>
  <c r="D48" i="26" s="1"/>
  <c r="T22" i="3"/>
  <c r="U22" i="3" s="1"/>
  <c r="N19" i="3"/>
  <c r="O19" i="3" s="1"/>
  <c r="C48" i="26" l="1"/>
  <c r="C149" i="2"/>
  <c r="C150" i="2" s="1"/>
  <c r="C151" i="2" s="1"/>
  <c r="C152" i="2" s="1"/>
  <c r="C153" i="2" s="1"/>
  <c r="C154" i="2" s="1"/>
  <c r="C155" i="2" s="1"/>
  <c r="C156" i="2" s="1"/>
  <c r="C157" i="2" s="1"/>
  <c r="C158" i="2" s="1"/>
  <c r="C159" i="2" s="1"/>
  <c r="C160" i="2" s="1"/>
  <c r="D27" i="12"/>
  <c r="K22" i="26"/>
  <c r="C21" i="26"/>
  <c r="C49" i="26" s="1"/>
  <c r="E9" i="12"/>
  <c r="T9" i="2"/>
  <c r="D21" i="26"/>
  <c r="D49" i="26" s="1"/>
  <c r="J24" i="3"/>
  <c r="T23" i="3"/>
  <c r="U23" i="3" s="1"/>
  <c r="L24" i="3"/>
  <c r="N20" i="3"/>
  <c r="O20" i="3" s="1"/>
  <c r="C161" i="2" l="1"/>
  <c r="C162" i="2" s="1"/>
  <c r="C163" i="2" s="1"/>
  <c r="C164" i="2" s="1"/>
  <c r="C165" i="2" s="1"/>
  <c r="C166" i="2" s="1"/>
  <c r="C167" i="2" s="1"/>
  <c r="C168" i="2" s="1"/>
  <c r="C169" i="2" s="1"/>
  <c r="C170" i="2" s="1"/>
  <c r="C171" i="2" s="1"/>
  <c r="C172" i="2" s="1"/>
  <c r="C173" i="2" s="1"/>
  <c r="J27" i="12"/>
  <c r="D28" i="12"/>
  <c r="K23" i="26"/>
  <c r="C22" i="26"/>
  <c r="C50" i="26" s="1"/>
  <c r="E10" i="12"/>
  <c r="D29" i="12" s="1"/>
  <c r="L25" i="3"/>
  <c r="L26" i="3" s="1"/>
  <c r="L27" i="3" s="1"/>
  <c r="J25" i="3"/>
  <c r="J26" i="3" s="1"/>
  <c r="J27" i="3" s="1"/>
  <c r="T10" i="2"/>
  <c r="D22" i="26"/>
  <c r="D50" i="26" s="1"/>
  <c r="T24" i="3"/>
  <c r="U24" i="3" s="1"/>
  <c r="N21" i="3"/>
  <c r="O21" i="3" s="1"/>
  <c r="C174" i="2" l="1"/>
  <c r="C175" i="2" s="1"/>
  <c r="C176" i="2" s="1"/>
  <c r="C177" i="2" s="1"/>
  <c r="C178" i="2" s="1"/>
  <c r="C179" i="2" s="1"/>
  <c r="C180" i="2" s="1"/>
  <c r="C181" i="2" s="1"/>
  <c r="C182" i="2" s="1"/>
  <c r="C183" i="2" s="1"/>
  <c r="C184" i="2" s="1"/>
  <c r="C185" i="2" s="1"/>
  <c r="C186" i="2" s="1"/>
  <c r="J28" i="12"/>
  <c r="J29" i="12"/>
  <c r="K24" i="26"/>
  <c r="C23" i="26"/>
  <c r="C51" i="26" s="1"/>
  <c r="E11" i="12"/>
  <c r="D30" i="12" s="1"/>
  <c r="T25" i="3"/>
  <c r="T26" i="3" s="1"/>
  <c r="T11" i="2"/>
  <c r="D23" i="26"/>
  <c r="D51" i="26" s="1"/>
  <c r="N22" i="3"/>
  <c r="O22" i="3" s="1"/>
  <c r="C187" i="2" l="1"/>
  <c r="C188" i="2" s="1"/>
  <c r="C189" i="2" s="1"/>
  <c r="C190" i="2" s="1"/>
  <c r="C191" i="2" s="1"/>
  <c r="C192" i="2" s="1"/>
  <c r="C193" i="2" s="1"/>
  <c r="C194" i="2" s="1"/>
  <c r="C195" i="2" s="1"/>
  <c r="C196" i="2" s="1"/>
  <c r="C197" i="2" s="1"/>
  <c r="C198" i="2" s="1"/>
  <c r="C199" i="2" s="1"/>
  <c r="C200" i="2" s="1"/>
  <c r="C201" i="2" s="1"/>
  <c r="C202" i="2" s="1"/>
  <c r="C203" i="2" s="1"/>
  <c r="C204" i="2" s="1"/>
  <c r="C205" i="2" s="1"/>
  <c r="C206" i="2" s="1"/>
  <c r="C207" i="2" s="1"/>
  <c r="C208" i="2" s="1"/>
  <c r="C209" i="2" s="1"/>
  <c r="C210" i="2" s="1"/>
  <c r="C211" i="2" s="1"/>
  <c r="C212" i="2" s="1"/>
  <c r="J30" i="12"/>
  <c r="U26" i="3"/>
  <c r="T27" i="3"/>
  <c r="U27" i="3" s="1"/>
  <c r="U25" i="3"/>
  <c r="K25" i="26"/>
  <c r="C24" i="26"/>
  <c r="C52" i="26" s="1"/>
  <c r="E12" i="12"/>
  <c r="D31" i="12" s="1"/>
  <c r="T12" i="2"/>
  <c r="D24" i="26"/>
  <c r="D52" i="26" s="1"/>
  <c r="N23" i="3"/>
  <c r="O23" i="3" s="1"/>
  <c r="C213" i="2" l="1"/>
  <c r="C214" i="2" s="1"/>
  <c r="C215" i="2" s="1"/>
  <c r="C216" i="2" s="1"/>
  <c r="C217" i="2" s="1"/>
  <c r="C218" i="2" s="1"/>
  <c r="C219" i="2" s="1"/>
  <c r="C220" i="2" s="1"/>
  <c r="C221" i="2" s="1"/>
  <c r="C222" i="2" s="1"/>
  <c r="C223" i="2" s="1"/>
  <c r="C224" i="2" s="1"/>
  <c r="C225" i="2" s="1"/>
  <c r="J31" i="12"/>
  <c r="U28" i="3"/>
  <c r="K26" i="26"/>
  <c r="K27" i="26" s="1"/>
  <c r="K28" i="26" s="1"/>
  <c r="C25" i="26"/>
  <c r="C53" i="26" s="1"/>
  <c r="E13" i="12"/>
  <c r="D32" i="12" s="1"/>
  <c r="T13" i="2"/>
  <c r="D25" i="26"/>
  <c r="D53" i="26" s="1"/>
  <c r="N24" i="3"/>
  <c r="O24" i="3" s="1"/>
  <c r="C226" i="2" l="1"/>
  <c r="C227" i="2" s="1"/>
  <c r="C228" i="2" s="1"/>
  <c r="C229" i="2" s="1"/>
  <c r="C230" i="2" s="1"/>
  <c r="C231" i="2" s="1"/>
  <c r="C232" i="2" s="1"/>
  <c r="C233" i="2" s="1"/>
  <c r="C234" i="2" s="1"/>
  <c r="C235" i="2" s="1"/>
  <c r="C236" i="2" s="1"/>
  <c r="C237" i="2" s="1"/>
  <c r="C238" i="2" s="1"/>
  <c r="C239" i="2" s="1"/>
  <c r="C240" i="2" s="1"/>
  <c r="C241" i="2" s="1"/>
  <c r="C242" i="2" s="1"/>
  <c r="C243" i="2" s="1"/>
  <c r="C244" i="2" s="1"/>
  <c r="C245" i="2" s="1"/>
  <c r="C246" i="2" s="1"/>
  <c r="C247" i="2" s="1"/>
  <c r="C248" i="2" s="1"/>
  <c r="C249" i="2" s="1"/>
  <c r="C250" i="2" s="1"/>
  <c r="C251" i="2" s="1"/>
  <c r="J32" i="12"/>
  <c r="C27" i="26"/>
  <c r="C26" i="26"/>
  <c r="C54" i="26" s="1"/>
  <c r="E14" i="12"/>
  <c r="D33" i="12" s="1"/>
  <c r="T14" i="2"/>
  <c r="D26" i="26"/>
  <c r="D54" i="26" s="1"/>
  <c r="N25" i="3"/>
  <c r="C252" i="2" l="1"/>
  <c r="C253" i="2" s="1"/>
  <c r="C254" i="2" s="1"/>
  <c r="C255" i="2" s="1"/>
  <c r="C256" i="2" s="1"/>
  <c r="C257" i="2" s="1"/>
  <c r="C258" i="2" s="1"/>
  <c r="C259" i="2" s="1"/>
  <c r="C260" i="2" s="1"/>
  <c r="C261" i="2" s="1"/>
  <c r="C262" i="2" s="1"/>
  <c r="C263" i="2" s="1"/>
  <c r="C264" i="2" s="1"/>
  <c r="J33" i="12"/>
  <c r="O25" i="3"/>
  <c r="N26" i="3"/>
  <c r="C55" i="26"/>
  <c r="E15" i="12"/>
  <c r="D34" i="12" s="1"/>
  <c r="T15" i="2"/>
  <c r="D27" i="26"/>
  <c r="D28" i="26" l="1"/>
  <c r="T16" i="2"/>
  <c r="J34" i="12"/>
  <c r="O26" i="3"/>
  <c r="N27" i="3"/>
  <c r="T17" i="2" s="1"/>
  <c r="D55" i="26"/>
  <c r="D56" i="26"/>
  <c r="K29" i="26"/>
  <c r="C29" i="26" s="1"/>
  <c r="E19" i="12" s="1"/>
  <c r="D38" i="12" s="1"/>
  <c r="C28" i="26"/>
  <c r="E16" i="12"/>
  <c r="D35" i="12" s="1"/>
  <c r="J35" i="12" l="1"/>
  <c r="O27" i="3"/>
  <c r="O28" i="3" s="1"/>
  <c r="D29" i="26"/>
  <c r="D57" i="26" s="1"/>
  <c r="D58" i="26" s="1"/>
  <c r="D30" i="26" s="1"/>
  <c r="C56" i="26"/>
  <c r="E18" i="12"/>
  <c r="D57" i="12"/>
  <c r="C57" i="26"/>
  <c r="E17" i="12"/>
  <c r="O255" i="2"/>
  <c r="P255" i="2" s="1"/>
  <c r="O261" i="2"/>
  <c r="P261" i="2" s="1"/>
  <c r="Q261" i="2" l="1"/>
  <c r="Q255" i="2"/>
  <c r="R255" i="2" s="1"/>
  <c r="S255" i="2" s="1"/>
  <c r="D36" i="12"/>
  <c r="D37" i="12"/>
  <c r="C58" i="26"/>
  <c r="C30" i="26" s="1"/>
  <c r="P252" i="2"/>
  <c r="O254" i="2"/>
  <c r="P254" i="2" s="1"/>
  <c r="O253" i="2"/>
  <c r="P253" i="2" s="1"/>
  <c r="O257" i="2"/>
  <c r="P257" i="2" s="1"/>
  <c r="O256" i="2"/>
  <c r="P256" i="2" s="1"/>
  <c r="O258" i="2"/>
  <c r="P258" i="2" s="1"/>
  <c r="E51" i="12"/>
  <c r="O260" i="2"/>
  <c r="P260" i="2" s="1"/>
  <c r="E48" i="12"/>
  <c r="E54" i="12"/>
  <c r="O259" i="2"/>
  <c r="P259" i="2" s="1"/>
  <c r="Q260" i="2" l="1"/>
  <c r="R260" i="2" s="1"/>
  <c r="Q257" i="2"/>
  <c r="R257" i="2" s="1"/>
  <c r="Q254" i="2"/>
  <c r="J36" i="12"/>
  <c r="Q259" i="2"/>
  <c r="R261" i="2"/>
  <c r="S261" i="2" s="1"/>
  <c r="T261" i="2" s="1"/>
  <c r="Q252" i="2"/>
  <c r="Q258" i="2"/>
  <c r="R258" i="2" s="1"/>
  <c r="Q256" i="2"/>
  <c r="Q253" i="2"/>
  <c r="J38" i="12"/>
  <c r="E76" i="12"/>
  <c r="D56" i="12"/>
  <c r="J57" i="12" s="1"/>
  <c r="J37" i="12"/>
  <c r="O262" i="2"/>
  <c r="P262" i="2" s="1"/>
  <c r="H11" i="12"/>
  <c r="I11" i="12" s="1"/>
  <c r="J11" i="12" s="1"/>
  <c r="D49" i="12" s="1"/>
  <c r="E49" i="12"/>
  <c r="H7" i="12"/>
  <c r="I7" i="12" s="1"/>
  <c r="E45" i="12"/>
  <c r="D65" i="12" s="1"/>
  <c r="D83" i="12" s="1"/>
  <c r="D100" i="12" s="1"/>
  <c r="H8" i="12"/>
  <c r="I8" i="12" s="1"/>
  <c r="J8" i="12" s="1"/>
  <c r="D46" i="12" s="1"/>
  <c r="E46" i="12"/>
  <c r="E52" i="12"/>
  <c r="E50" i="12"/>
  <c r="E53" i="12"/>
  <c r="H16" i="12"/>
  <c r="I16" i="12" s="1"/>
  <c r="J16" i="12" s="1"/>
  <c r="D54" i="12" s="1"/>
  <c r="H13" i="12"/>
  <c r="I13" i="12" s="1"/>
  <c r="J13" i="12" s="1"/>
  <c r="D51" i="12" s="1"/>
  <c r="H10" i="12"/>
  <c r="I10" i="12" s="1"/>
  <c r="J10" i="12" s="1"/>
  <c r="D48" i="12" s="1"/>
  <c r="T255" i="2"/>
  <c r="J7" i="12" l="1"/>
  <c r="D45" i="12" s="1"/>
  <c r="C45" i="12"/>
  <c r="R254" i="2"/>
  <c r="R252" i="2"/>
  <c r="S252" i="2" s="1"/>
  <c r="T252" i="2" s="1"/>
  <c r="R256" i="2"/>
  <c r="S256" i="2" s="1"/>
  <c r="Q262" i="2"/>
  <c r="R259" i="2"/>
  <c r="S259" i="2" s="1"/>
  <c r="J39" i="12"/>
  <c r="R253" i="2"/>
  <c r="S253" i="2" s="1"/>
  <c r="T253" i="2" s="1"/>
  <c r="E75" i="12"/>
  <c r="C76" i="12"/>
  <c r="G76" i="12" s="1"/>
  <c r="C49" i="12"/>
  <c r="J46" i="12"/>
  <c r="C46" i="12"/>
  <c r="H9" i="12"/>
  <c r="I9" i="12" s="1"/>
  <c r="J9" i="12" s="1"/>
  <c r="D47" i="12" s="1"/>
  <c r="J47" i="12" s="1"/>
  <c r="E47" i="12"/>
  <c r="K47" i="12" s="1"/>
  <c r="H17" i="12"/>
  <c r="I17" i="12" s="1"/>
  <c r="J17" i="12" s="1"/>
  <c r="D55" i="12" s="1"/>
  <c r="E55" i="12"/>
  <c r="D75" i="12" s="1"/>
  <c r="H75" i="12" s="1"/>
  <c r="D66" i="12"/>
  <c r="D84" i="12" s="1"/>
  <c r="D101" i="12" s="1"/>
  <c r="K46" i="12"/>
  <c r="K50" i="12"/>
  <c r="K51" i="12"/>
  <c r="J49" i="12"/>
  <c r="F68" i="12"/>
  <c r="K49" i="12"/>
  <c r="H12" i="12"/>
  <c r="I12" i="12" s="1"/>
  <c r="J12" i="12" s="1"/>
  <c r="D50" i="12" s="1"/>
  <c r="J50" i="12" s="1"/>
  <c r="D69" i="12"/>
  <c r="F65" i="12"/>
  <c r="H65" i="12" s="1"/>
  <c r="H83" i="12" s="1"/>
  <c r="G118" i="12" s="1"/>
  <c r="H14" i="12"/>
  <c r="I14" i="12" s="1"/>
  <c r="J14" i="12" s="1"/>
  <c r="D52" i="12" s="1"/>
  <c r="J52" i="12" s="1"/>
  <c r="K52" i="12"/>
  <c r="H15" i="12"/>
  <c r="I15" i="12" s="1"/>
  <c r="J15" i="12" s="1"/>
  <c r="D53" i="12" s="1"/>
  <c r="C48" i="12"/>
  <c r="C51" i="12"/>
  <c r="C71" i="12" s="1"/>
  <c r="F67" i="12"/>
  <c r="D68" i="12"/>
  <c r="D74" i="12"/>
  <c r="F73" i="12"/>
  <c r="S258" i="2"/>
  <c r="T258" i="2" s="1"/>
  <c r="F70" i="12"/>
  <c r="D71" i="12"/>
  <c r="S260" i="2"/>
  <c r="T260" i="2" s="1"/>
  <c r="S257" i="2"/>
  <c r="T257" i="2" s="1"/>
  <c r="F69" i="12"/>
  <c r="D70" i="12"/>
  <c r="C54" i="12"/>
  <c r="C65" i="12" l="1"/>
  <c r="C83" i="12" s="1"/>
  <c r="C100" i="12" s="1"/>
  <c r="T259" i="2"/>
  <c r="T256" i="2"/>
  <c r="R262" i="2"/>
  <c r="S262" i="2" s="1"/>
  <c r="T262" i="2" s="1"/>
  <c r="S254" i="2"/>
  <c r="T254" i="2" s="1"/>
  <c r="K55" i="12"/>
  <c r="K56" i="12"/>
  <c r="J55" i="12"/>
  <c r="J56" i="12"/>
  <c r="C69" i="12"/>
  <c r="I49" i="12"/>
  <c r="C66" i="12"/>
  <c r="I46" i="12"/>
  <c r="E65" i="12"/>
  <c r="E68" i="12"/>
  <c r="C55" i="12"/>
  <c r="J48" i="12"/>
  <c r="C47" i="12"/>
  <c r="I47" i="12" s="1"/>
  <c r="H100" i="12"/>
  <c r="C52" i="12"/>
  <c r="K53" i="12"/>
  <c r="C50" i="12"/>
  <c r="I50" i="12" s="1"/>
  <c r="K48" i="12"/>
  <c r="H68" i="12"/>
  <c r="J53" i="12"/>
  <c r="J54" i="12"/>
  <c r="J51" i="12"/>
  <c r="K54" i="12"/>
  <c r="H69" i="12"/>
  <c r="F74" i="12"/>
  <c r="H74" i="12" s="1"/>
  <c r="C68" i="12"/>
  <c r="F83" i="12"/>
  <c r="F100" i="12" s="1"/>
  <c r="F66" i="12"/>
  <c r="H66" i="12" s="1"/>
  <c r="H84" i="12" s="1"/>
  <c r="G119" i="12" s="1"/>
  <c r="D72" i="12"/>
  <c r="F71" i="12"/>
  <c r="H71" i="12" s="1"/>
  <c r="D73" i="12"/>
  <c r="H73" i="12" s="1"/>
  <c r="F72" i="12"/>
  <c r="D67" i="12"/>
  <c r="D85" i="12" s="1"/>
  <c r="D102" i="12" s="1"/>
  <c r="C53" i="12"/>
  <c r="E67" i="12"/>
  <c r="E70" i="12"/>
  <c r="H70" i="12"/>
  <c r="E73" i="12"/>
  <c r="C74" i="12"/>
  <c r="C84" i="12" l="1"/>
  <c r="C101" i="12" s="1"/>
  <c r="G65" i="12"/>
  <c r="G83" i="12" s="1"/>
  <c r="E118" i="12" s="1"/>
  <c r="I53" i="12"/>
  <c r="C75" i="12"/>
  <c r="G75" i="12" s="1"/>
  <c r="K58" i="12"/>
  <c r="J58" i="12"/>
  <c r="I55" i="12"/>
  <c r="I56" i="12"/>
  <c r="I54" i="12"/>
  <c r="E83" i="12"/>
  <c r="E100" i="12" s="1"/>
  <c r="I48" i="12"/>
  <c r="C72" i="12"/>
  <c r="I52" i="12"/>
  <c r="I51" i="12"/>
  <c r="E74" i="12"/>
  <c r="G74" i="12" s="1"/>
  <c r="G68" i="12"/>
  <c r="E66" i="12"/>
  <c r="G66" i="12" s="1"/>
  <c r="C67" i="12"/>
  <c r="G67" i="12" s="1"/>
  <c r="H101" i="12"/>
  <c r="E71" i="12"/>
  <c r="G71" i="12" s="1"/>
  <c r="E69" i="12"/>
  <c r="G69" i="12" s="1"/>
  <c r="C70" i="12"/>
  <c r="G70" i="12" s="1"/>
  <c r="F84" i="12"/>
  <c r="F101" i="12" s="1"/>
  <c r="D86" i="12"/>
  <c r="D103" i="12" s="1"/>
  <c r="H67" i="12"/>
  <c r="H85" i="12" s="1"/>
  <c r="G120" i="12" s="1"/>
  <c r="C73" i="12"/>
  <c r="G73" i="12" s="1"/>
  <c r="E72" i="12"/>
  <c r="H72" i="12"/>
  <c r="G100" i="12" l="1"/>
  <c r="I83" i="12"/>
  <c r="I100" i="12" s="1"/>
  <c r="G84" i="12"/>
  <c r="E119" i="12" s="1"/>
  <c r="I58" i="12"/>
  <c r="G72" i="12"/>
  <c r="C85" i="12"/>
  <c r="C102" i="12" s="1"/>
  <c r="E84" i="12"/>
  <c r="E101" i="12" s="1"/>
  <c r="H102" i="12"/>
  <c r="F85" i="12"/>
  <c r="F102" i="12" s="1"/>
  <c r="D87" i="12"/>
  <c r="D104" i="12" s="1"/>
  <c r="H86" i="12"/>
  <c r="G121" i="12" s="1"/>
  <c r="C118" i="12" l="1"/>
  <c r="G101" i="12"/>
  <c r="I84" i="12"/>
  <c r="J84" i="12" s="1"/>
  <c r="G85" i="12"/>
  <c r="E120" i="12" s="1"/>
  <c r="J83" i="12"/>
  <c r="E85" i="12"/>
  <c r="E102" i="12" s="1"/>
  <c r="C86" i="12"/>
  <c r="C103" i="12" s="1"/>
  <c r="H103" i="12"/>
  <c r="F86" i="12"/>
  <c r="F103" i="12" s="1"/>
  <c r="D88" i="12"/>
  <c r="D105" i="12" s="1"/>
  <c r="H87" i="12"/>
  <c r="G122" i="12" s="1"/>
  <c r="I85" i="12" l="1"/>
  <c r="I102" i="12" s="1"/>
  <c r="G86" i="12"/>
  <c r="E121" i="12" s="1"/>
  <c r="G102" i="12"/>
  <c r="C119" i="12"/>
  <c r="I101" i="12"/>
  <c r="E86" i="12"/>
  <c r="E103" i="12" s="1"/>
  <c r="C87" i="12"/>
  <c r="C104" i="12" s="1"/>
  <c r="H104" i="12"/>
  <c r="F87" i="12"/>
  <c r="F104" i="12" s="1"/>
  <c r="D89" i="12"/>
  <c r="D106" i="12" s="1"/>
  <c r="H88" i="12"/>
  <c r="G123" i="12" s="1"/>
  <c r="I86" i="12" l="1"/>
  <c r="I103" i="12" s="1"/>
  <c r="G87" i="12"/>
  <c r="E122" i="12" s="1"/>
  <c r="J85" i="12"/>
  <c r="C120" i="12"/>
  <c r="G103" i="12"/>
  <c r="E87" i="12"/>
  <c r="E104" i="12" s="1"/>
  <c r="C88" i="12"/>
  <c r="C105" i="12" s="1"/>
  <c r="H105" i="12"/>
  <c r="F88" i="12"/>
  <c r="F105" i="12" s="1"/>
  <c r="D90" i="12"/>
  <c r="D107" i="12" s="1"/>
  <c r="H89" i="12"/>
  <c r="G124" i="12" s="1"/>
  <c r="G104" i="12" l="1"/>
  <c r="C121" i="12"/>
  <c r="J86" i="12"/>
  <c r="G88" i="12"/>
  <c r="E123" i="12" s="1"/>
  <c r="I87" i="12"/>
  <c r="C122" i="12" s="1"/>
  <c r="E88" i="12"/>
  <c r="E105" i="12" s="1"/>
  <c r="C89" i="12"/>
  <c r="C106" i="12" s="1"/>
  <c r="H106" i="12"/>
  <c r="F89" i="12"/>
  <c r="F106" i="12" s="1"/>
  <c r="D91" i="12"/>
  <c r="D108" i="12" s="1"/>
  <c r="H90" i="12"/>
  <c r="G125" i="12" s="1"/>
  <c r="G105" i="12" l="1"/>
  <c r="I104" i="12"/>
  <c r="J87" i="12"/>
  <c r="I88" i="12"/>
  <c r="I105" i="12" s="1"/>
  <c r="G89" i="12"/>
  <c r="E124" i="12" s="1"/>
  <c r="E89" i="12"/>
  <c r="E106" i="12" s="1"/>
  <c r="C90" i="12"/>
  <c r="C107" i="12" s="1"/>
  <c r="H107" i="12"/>
  <c r="F90" i="12"/>
  <c r="F107" i="12" s="1"/>
  <c r="D92" i="12"/>
  <c r="D93" i="12" s="1"/>
  <c r="H91" i="12"/>
  <c r="G126" i="12" s="1"/>
  <c r="C123" i="12" l="1"/>
  <c r="J88" i="12"/>
  <c r="I89" i="12"/>
  <c r="C124" i="12" s="1"/>
  <c r="G106" i="12"/>
  <c r="G90" i="12"/>
  <c r="E125" i="12" s="1"/>
  <c r="D94" i="12"/>
  <c r="D111" i="12" s="1"/>
  <c r="D110" i="12"/>
  <c r="E90" i="12"/>
  <c r="E107" i="12" s="1"/>
  <c r="C91" i="12"/>
  <c r="C108" i="12" s="1"/>
  <c r="H108" i="12"/>
  <c r="I106" i="12"/>
  <c r="F91" i="12"/>
  <c r="F108" i="12" s="1"/>
  <c r="D109" i="12"/>
  <c r="H92" i="12"/>
  <c r="G127" i="12" s="1"/>
  <c r="J89" i="12" l="1"/>
  <c r="G91" i="12"/>
  <c r="E126" i="12" s="1"/>
  <c r="I90" i="12"/>
  <c r="J90" i="12" s="1"/>
  <c r="G107" i="12"/>
  <c r="H93" i="12"/>
  <c r="G128" i="12" s="1"/>
  <c r="D112" i="12"/>
  <c r="C92" i="12"/>
  <c r="E91" i="12"/>
  <c r="E108" i="12" s="1"/>
  <c r="H109" i="12"/>
  <c r="F92" i="12"/>
  <c r="G92" i="12" l="1"/>
  <c r="E127" i="12" s="1"/>
  <c r="I91" i="12"/>
  <c r="C126" i="12" s="1"/>
  <c r="G108" i="12"/>
  <c r="I107" i="12"/>
  <c r="C125" i="12"/>
  <c r="H110" i="12"/>
  <c r="H94" i="12"/>
  <c r="G129" i="12" s="1"/>
  <c r="H117" i="12" s="1"/>
  <c r="C109" i="12"/>
  <c r="C93" i="12"/>
  <c r="F109" i="12"/>
  <c r="F93" i="12"/>
  <c r="E92" i="12"/>
  <c r="I92" i="12"/>
  <c r="I108" i="12" l="1"/>
  <c r="J91" i="12"/>
  <c r="G93" i="12"/>
  <c r="E128" i="12" s="1"/>
  <c r="G109" i="12"/>
  <c r="H111" i="12"/>
  <c r="I109" i="12"/>
  <c r="C127" i="12"/>
  <c r="F94" i="12"/>
  <c r="F111" i="12" s="1"/>
  <c r="F110" i="12"/>
  <c r="C94" i="12"/>
  <c r="C111" i="12" s="1"/>
  <c r="C110" i="12"/>
  <c r="E109" i="12"/>
  <c r="E93" i="12"/>
  <c r="J92" i="12"/>
  <c r="G110" i="12" l="1"/>
  <c r="G94" i="12"/>
  <c r="E129" i="12" s="1"/>
  <c r="F117" i="12" s="1"/>
  <c r="I93" i="12"/>
  <c r="J93" i="12" s="1"/>
  <c r="H112" i="12"/>
  <c r="F112" i="12"/>
  <c r="C112" i="12"/>
  <c r="E94" i="12"/>
  <c r="E111" i="12" s="1"/>
  <c r="E110" i="12"/>
  <c r="I94" i="12" l="1"/>
  <c r="J94" i="12" s="1"/>
  <c r="I110" i="12"/>
  <c r="G111" i="12"/>
  <c r="G112" i="12" s="1"/>
  <c r="C128" i="12"/>
  <c r="E112" i="12"/>
  <c r="I111" i="12" l="1"/>
  <c r="I112" i="12" s="1"/>
  <c r="G2" i="12" s="1"/>
  <c r="C129" i="12"/>
  <c r="D117" i="12" s="1"/>
  <c r="J2" i="12" s="1"/>
</calcChain>
</file>

<file path=xl/comments1.xml><?xml version="1.0" encoding="utf-8"?>
<comments xmlns="http://schemas.openxmlformats.org/spreadsheetml/2006/main">
  <authors>
    <author>Kelima</author>
  </authors>
  <commentList>
    <comment ref="E4" authorId="0">
      <text>
        <r>
          <rPr>
            <b/>
            <sz val="8"/>
            <color indexed="81"/>
            <rFont val="Tahoma"/>
            <family val="2"/>
          </rPr>
          <t>Kelima:</t>
        </r>
        <r>
          <rPr>
            <sz val="8"/>
            <color indexed="81"/>
            <rFont val="Tahoma"/>
            <family val="2"/>
          </rPr>
          <t xml:space="preserve">
Average weekly earnings (SEPH), current dollars, for Ontario, including overtime, seasonally adjusted, for all employees, by selected industries classified using the North American Industry Classification System (NAICS)
Source: StatsCan Cansim Table 281-027 and Table 281-028
</t>
        </r>
      </text>
    </comment>
  </commentList>
</comments>
</file>

<file path=xl/sharedStrings.xml><?xml version="1.0" encoding="utf-8"?>
<sst xmlns="http://schemas.openxmlformats.org/spreadsheetml/2006/main" count="817" uniqueCount="589">
  <si>
    <t>Data</t>
  </si>
  <si>
    <t>I</t>
  </si>
  <si>
    <t>O</t>
  </si>
  <si>
    <t>I share</t>
  </si>
  <si>
    <t>Year</t>
  </si>
  <si>
    <t>K</t>
  </si>
  <si>
    <t>Quantity Sub-indexes</t>
  </si>
  <si>
    <t>Input</t>
  </si>
  <si>
    <t>Output</t>
  </si>
  <si>
    <t>Net_generation (MWh)</t>
  </si>
  <si>
    <t>(Implicit) Price Indexes</t>
  </si>
  <si>
    <t>Year to year changes</t>
  </si>
  <si>
    <t>Laspeyres Index</t>
  </si>
  <si>
    <t>Paasche Index</t>
  </si>
  <si>
    <t>Fisher Index</t>
  </si>
  <si>
    <t>Index</t>
  </si>
  <si>
    <t>TFP</t>
  </si>
  <si>
    <t>Growth</t>
  </si>
  <si>
    <t>MW</t>
  </si>
  <si>
    <t>K$</t>
  </si>
  <si>
    <t>%</t>
  </si>
  <si>
    <t>MWh</t>
  </si>
  <si>
    <t>LEI_ID</t>
  </si>
  <si>
    <t>Company Name</t>
  </si>
  <si>
    <t>MCR</t>
  </si>
  <si>
    <t>Labour_OM&amp;A share</t>
  </si>
  <si>
    <t>Net_generation</t>
  </si>
  <si>
    <t>Revenue</t>
  </si>
  <si>
    <t>Capital</t>
  </si>
  <si>
    <t>Capital Share</t>
  </si>
  <si>
    <t>OM&amp;A Share</t>
  </si>
  <si>
    <t>OPG</t>
  </si>
  <si>
    <t>Note: Indices are for Canada</t>
  </si>
  <si>
    <t>Share of Labour</t>
  </si>
  <si>
    <t>Share of Non-labour</t>
  </si>
  <si>
    <t>GDP-IPI FDD</t>
  </si>
  <si>
    <t>StatsCan Tables: http://www5.statcan.gc.ca/cansim/a29?lang=eng&amp;groupid=All&amp;p2=17</t>
  </si>
  <si>
    <t xml:space="preserve">     See lower for GDP-IPI FDD</t>
  </si>
  <si>
    <t>Labour Price Indices</t>
  </si>
  <si>
    <r>
      <t>Table</t>
    </r>
    <r>
      <rPr>
        <b/>
        <sz val="10"/>
        <color rgb="FF333333"/>
        <rFont val="Arial"/>
        <family val="2"/>
      </rPr>
      <t> 281-0027</t>
    </r>
    <r>
      <rPr>
        <b/>
        <vertAlign val="superscript"/>
        <sz val="10"/>
        <color rgb="FF333333"/>
        <rFont val="Arial"/>
        <family val="2"/>
      </rPr>
      <t> </t>
    </r>
    <r>
      <rPr>
        <b/>
        <vertAlign val="superscript"/>
        <sz val="10"/>
        <color rgb="FF5A306B"/>
        <rFont val="Verdana"/>
        <family val="2"/>
      </rPr>
      <t>4</t>
    </r>
    <r>
      <rPr>
        <b/>
        <vertAlign val="superscript"/>
        <sz val="10"/>
        <color rgb="FF333333"/>
        <rFont val="Arial"/>
        <family val="2"/>
      </rPr>
      <t>, </t>
    </r>
    <r>
      <rPr>
        <b/>
        <vertAlign val="superscript"/>
        <sz val="10"/>
        <color rgb="FF5A306B"/>
        <rFont val="Verdana"/>
        <family val="2"/>
      </rPr>
      <t>14</t>
    </r>
    <r>
      <rPr>
        <b/>
        <vertAlign val="superscript"/>
        <sz val="10"/>
        <color rgb="FF333333"/>
        <rFont val="Arial"/>
        <family val="2"/>
      </rPr>
      <t>, </t>
    </r>
    <r>
      <rPr>
        <b/>
        <vertAlign val="superscript"/>
        <sz val="10"/>
        <color rgb="FF5A306B"/>
        <rFont val="Verdana"/>
        <family val="2"/>
      </rPr>
      <t>15</t>
    </r>
    <r>
      <rPr>
        <b/>
        <vertAlign val="superscript"/>
        <sz val="10"/>
        <color rgb="FF333333"/>
        <rFont val="Arial"/>
        <family val="2"/>
      </rPr>
      <t>, </t>
    </r>
    <r>
      <rPr>
        <b/>
        <vertAlign val="superscript"/>
        <sz val="10"/>
        <color rgb="FF5A306B"/>
        <rFont val="Verdana"/>
        <family val="2"/>
      </rPr>
      <t>16</t>
    </r>
    <r>
      <rPr>
        <b/>
        <vertAlign val="superscript"/>
        <sz val="10"/>
        <color rgb="FF333333"/>
        <rFont val="Arial"/>
        <family val="2"/>
      </rPr>
      <t>, </t>
    </r>
    <r>
      <rPr>
        <b/>
        <vertAlign val="superscript"/>
        <sz val="10"/>
        <color rgb="FF5A306B"/>
        <rFont val="Verdana"/>
        <family val="2"/>
      </rPr>
      <t>18</t>
    </r>
    <r>
      <rPr>
        <b/>
        <sz val="10"/>
        <color rgb="FF333333"/>
        <rFont val="Arial"/>
        <family val="2"/>
      </rPr>
      <t> </t>
    </r>
  </si>
  <si>
    <r>
      <t>Table</t>
    </r>
    <r>
      <rPr>
        <b/>
        <sz val="15"/>
        <color rgb="FF333333"/>
        <rFont val="Arial"/>
        <family val="2"/>
      </rPr>
      <t> </t>
    </r>
    <r>
      <rPr>
        <b/>
        <sz val="11"/>
        <color rgb="FF333333"/>
        <rFont val="Arial"/>
        <family val="2"/>
      </rPr>
      <t>281-0028</t>
    </r>
    <r>
      <rPr>
        <b/>
        <vertAlign val="superscript"/>
        <sz val="12"/>
        <color rgb="FF333333"/>
        <rFont val="Arial"/>
        <family val="2"/>
      </rPr>
      <t> </t>
    </r>
    <r>
      <rPr>
        <b/>
        <vertAlign val="superscript"/>
        <sz val="12"/>
        <color rgb="FF5A306B"/>
        <rFont val="Verdana"/>
        <family val="2"/>
      </rPr>
      <t>3</t>
    </r>
    <r>
      <rPr>
        <b/>
        <vertAlign val="superscript"/>
        <sz val="12"/>
        <color rgb="FF333333"/>
        <rFont val="Arial"/>
        <family val="2"/>
      </rPr>
      <t>, </t>
    </r>
    <r>
      <rPr>
        <b/>
        <vertAlign val="superscript"/>
        <sz val="12"/>
        <color rgb="FF5A306B"/>
        <rFont val="Verdana"/>
        <family val="2"/>
      </rPr>
      <t>12</t>
    </r>
    <r>
      <rPr>
        <b/>
        <vertAlign val="superscript"/>
        <sz val="12"/>
        <color rgb="FF333333"/>
        <rFont val="Arial"/>
        <family val="2"/>
      </rPr>
      <t>, </t>
    </r>
    <r>
      <rPr>
        <b/>
        <vertAlign val="superscript"/>
        <sz val="12"/>
        <color rgb="FF5A306B"/>
        <rFont val="Verdana"/>
        <family val="2"/>
      </rPr>
      <t>13</t>
    </r>
    <r>
      <rPr>
        <b/>
        <vertAlign val="superscript"/>
        <sz val="12"/>
        <color rgb="FF333333"/>
        <rFont val="Arial"/>
        <family val="2"/>
      </rPr>
      <t>, </t>
    </r>
    <r>
      <rPr>
        <b/>
        <vertAlign val="superscript"/>
        <sz val="12"/>
        <color rgb="FF5A306B"/>
        <rFont val="Verdana"/>
        <family val="2"/>
      </rPr>
      <t>14</t>
    </r>
    <r>
      <rPr>
        <b/>
        <vertAlign val="superscript"/>
        <sz val="12"/>
        <color rgb="FF333333"/>
        <rFont val="Arial"/>
        <family val="2"/>
      </rPr>
      <t>, </t>
    </r>
    <r>
      <rPr>
        <b/>
        <vertAlign val="superscript"/>
        <sz val="12"/>
        <color rgb="FF5A306B"/>
        <rFont val="Verdana"/>
        <family val="2"/>
      </rPr>
      <t>15</t>
    </r>
    <r>
      <rPr>
        <b/>
        <vertAlign val="superscript"/>
        <sz val="12"/>
        <color rgb="FF333333"/>
        <rFont val="Arial"/>
        <family val="2"/>
      </rPr>
      <t>, </t>
    </r>
    <r>
      <rPr>
        <b/>
        <vertAlign val="superscript"/>
        <sz val="12"/>
        <color rgb="FF5A306B"/>
        <rFont val="Verdana"/>
        <family val="2"/>
      </rPr>
      <t>16</t>
    </r>
    <r>
      <rPr>
        <b/>
        <vertAlign val="superscript"/>
        <sz val="12"/>
        <color rgb="FF333333"/>
        <rFont val="Arial"/>
        <family val="2"/>
      </rPr>
      <t>, </t>
    </r>
    <r>
      <rPr>
        <b/>
        <vertAlign val="superscript"/>
        <sz val="12"/>
        <color rgb="FF5A306B"/>
        <rFont val="Verdana"/>
        <family val="2"/>
      </rPr>
      <t>17</t>
    </r>
    <r>
      <rPr>
        <b/>
        <vertAlign val="superscript"/>
        <sz val="12"/>
        <color rgb="FF333333"/>
        <rFont val="Arial"/>
        <family val="2"/>
      </rPr>
      <t>, </t>
    </r>
    <r>
      <rPr>
        <b/>
        <vertAlign val="superscript"/>
        <sz val="12"/>
        <color rgb="FF5A306B"/>
        <rFont val="Verdana"/>
        <family val="2"/>
      </rPr>
      <t>18</t>
    </r>
    <r>
      <rPr>
        <b/>
        <vertAlign val="superscript"/>
        <sz val="12"/>
        <color rgb="FF333333"/>
        <rFont val="Arial"/>
        <family val="2"/>
      </rPr>
      <t>, </t>
    </r>
    <r>
      <rPr>
        <b/>
        <vertAlign val="superscript"/>
        <sz val="12"/>
        <color rgb="FF5A306B"/>
        <rFont val="Verdana"/>
        <family val="2"/>
      </rPr>
      <t>19</t>
    </r>
    <r>
      <rPr>
        <b/>
        <sz val="15"/>
        <color rgb="FF333333"/>
        <rFont val="Arial"/>
        <family val="2"/>
      </rPr>
      <t> </t>
    </r>
  </si>
  <si>
    <t>Average weekly earnings (SEPH), by type of employee for selected industries classified using the North American Industry Classification System (NAICS)</t>
  </si>
  <si>
    <t>Average weekly earnings (SEPH), including overtime, seasonally adjusted, for all employees, by selected industries classified using the North American Industry Classification System (NAICS), *Terminated*</t>
  </si>
  <si>
    <t>annual (current dollars)</t>
  </si>
  <si>
    <t>monthly (current dollars)</t>
  </si>
  <si>
    <t>Type of employees = All employees</t>
  </si>
  <si>
    <t>Overtime = Including overtime</t>
  </si>
  <si>
    <r>
      <t>Industrial aggregate excluding unclassified businesses [11-91N]</t>
    </r>
    <r>
      <rPr>
        <b/>
        <i/>
        <vertAlign val="superscript"/>
        <sz val="8"/>
        <color rgb="FF222222"/>
        <rFont val="Verdana"/>
        <family val="2"/>
      </rPr>
      <t> </t>
    </r>
    <r>
      <rPr>
        <b/>
        <i/>
        <vertAlign val="superscript"/>
        <sz val="8"/>
        <color rgb="FF5A306B"/>
        <rFont val="Verdana"/>
        <family val="2"/>
      </rPr>
      <t>5</t>
    </r>
    <r>
      <rPr>
        <b/>
        <i/>
        <vertAlign val="superscript"/>
        <sz val="8"/>
        <color rgb="FF222222"/>
        <rFont val="Verdana"/>
        <family val="2"/>
      </rPr>
      <t>, </t>
    </r>
    <r>
      <rPr>
        <b/>
        <i/>
        <vertAlign val="superscript"/>
        <sz val="8"/>
        <color rgb="FF5A306B"/>
        <rFont val="Verdana"/>
        <family val="2"/>
      </rPr>
      <t>6</t>
    </r>
  </si>
  <si>
    <r>
      <t>Industrial aggregate excluding unclassified businesses [11-91N]</t>
    </r>
    <r>
      <rPr>
        <b/>
        <i/>
        <vertAlign val="superscript"/>
        <sz val="8"/>
        <color rgb="FF222222"/>
        <rFont val="Verdana"/>
        <family val="2"/>
      </rPr>
      <t> </t>
    </r>
    <r>
      <rPr>
        <b/>
        <i/>
        <vertAlign val="superscript"/>
        <sz val="8"/>
        <color rgb="FF5A306B"/>
        <rFont val="Verdana"/>
        <family val="2"/>
      </rPr>
      <t>4</t>
    </r>
    <r>
      <rPr>
        <b/>
        <i/>
        <vertAlign val="superscript"/>
        <sz val="8"/>
        <color rgb="FF222222"/>
        <rFont val="Verdana"/>
        <family val="2"/>
      </rPr>
      <t>, </t>
    </r>
    <r>
      <rPr>
        <b/>
        <i/>
        <vertAlign val="superscript"/>
        <sz val="8"/>
        <color rgb="FF5A306B"/>
        <rFont val="Verdana"/>
        <family val="2"/>
      </rPr>
      <t>5</t>
    </r>
  </si>
  <si>
    <t>orig</t>
  </si>
  <si>
    <t>Utilities [22, 221]</t>
  </si>
  <si>
    <t>Utilities [22]</t>
  </si>
  <si>
    <t>NAICS [18]</t>
  </si>
  <si>
    <r>
      <t>Industrial aggregate excluding unclassified businesses [11-91N]</t>
    </r>
    <r>
      <rPr>
        <b/>
        <vertAlign val="superscript"/>
        <sz val="8"/>
        <color rgb="FF222222"/>
        <rFont val="Verdana"/>
        <family val="2"/>
      </rPr>
      <t> </t>
    </r>
    <r>
      <rPr>
        <b/>
        <vertAlign val="superscript"/>
        <sz val="8"/>
        <color rgb="FF5A306B"/>
        <rFont val="Verdana"/>
        <family val="2"/>
      </rPr>
      <t>5</t>
    </r>
    <r>
      <rPr>
        <b/>
        <vertAlign val="superscript"/>
        <sz val="8"/>
        <color rgb="FF222222"/>
        <rFont val="Verdana"/>
        <family val="2"/>
      </rPr>
      <t>, </t>
    </r>
    <r>
      <rPr>
        <b/>
        <vertAlign val="superscript"/>
        <sz val="8"/>
        <color rgb="FF5A306B"/>
        <rFont val="Verdana"/>
        <family val="2"/>
      </rPr>
      <t>6</t>
    </r>
  </si>
  <si>
    <r>
      <t>Utilities [</t>
    </r>
    <r>
      <rPr>
        <b/>
        <sz val="10"/>
        <color rgb="FF5A306B"/>
        <rFont val="Verdana"/>
        <family val="2"/>
      </rPr>
      <t>22</t>
    </r>
    <r>
      <rPr>
        <b/>
        <sz val="10"/>
        <color rgb="FF222222"/>
        <rFont val="Verdana"/>
        <family val="2"/>
      </rPr>
      <t>, </t>
    </r>
    <r>
      <rPr>
        <b/>
        <sz val="10"/>
        <color rgb="FF5A306B"/>
        <rFont val="Verdana"/>
        <family val="2"/>
      </rPr>
      <t>221</t>
    </r>
    <r>
      <rPr>
        <b/>
        <sz val="10"/>
        <color rgb="FF222222"/>
        <rFont val="Verdana"/>
        <family val="2"/>
      </rPr>
      <t>]</t>
    </r>
  </si>
  <si>
    <r>
      <t>Industrial aggregate excluding unclassified businesses [11-91N]</t>
    </r>
    <r>
      <rPr>
        <b/>
        <vertAlign val="superscript"/>
        <sz val="8"/>
        <color rgb="FF222222"/>
        <rFont val="Verdana"/>
        <family val="2"/>
      </rPr>
      <t> 4, 5</t>
    </r>
  </si>
  <si>
    <r>
      <t>Utilities [</t>
    </r>
    <r>
      <rPr>
        <b/>
        <sz val="10"/>
        <color rgb="FF5A306B"/>
        <rFont val="Verdana"/>
        <family val="2"/>
      </rPr>
      <t>22</t>
    </r>
    <r>
      <rPr>
        <b/>
        <sz val="10"/>
        <color rgb="FF222222"/>
        <rFont val="Verdana"/>
        <family val="2"/>
      </rPr>
      <t>]</t>
    </r>
  </si>
  <si>
    <t>Footnotes:</t>
  </si>
  <si>
    <t>Although the creation of Nunavut officially took place in April 1999, the Survey of employment, payrolls and hours (SEPH) was only able to begin publishing separate estimates for Northwest Territories and Nunavut with the release of the January 2001 data. Efforts were undertaken to estimate the employment for Nunavut back to April 1999. These are available upon request by contacting Client Services at 1-866-873-8788 (toll-free) or 613-951-4090 (labour@statcan.gc.ca).</t>
  </si>
  <si>
    <t xml:space="preserve"> </t>
  </si>
  <si>
    <t>Industrial aggregate covers all industrial sectors except those primarily involved in agriculture, fishing and trapping, private household services, religious organisations and the military personnel of the defence services.</t>
  </si>
  <si>
    <t>Since January 2001, the Survey of employment, payrolls and hours (SEPH) program no longer combines Northwest Territories and Nunavut. They are produced as two separate territories.</t>
  </si>
  <si>
    <t>Le regroupement « ensemble des industries » comprend tous les secteurs industriels sauf ceux dont les activités relèvent des secteurs de l'agriculture, de la pêche et du piégeage, des services domestiques aux ménages privés, des organismes religieux et du personnel militaire des services de la défense.</t>
  </si>
  <si>
    <t>These terminated series are based on the North American Industry Classification System (NAICS) 2002.</t>
  </si>
  <si>
    <t>Unclassified businesses (00) are business for which the industrial classification (North American Industry Classification System (NAICS) 2012) has yet to be determined.</t>
  </si>
  <si>
    <t>Data quality indicators are based on the coefficient of variation (CV). Quality indicators indicate the following: A - Excellent (CV from 0% to 4.99%); B - Very good (CV from 5% to 9.99%); C - Good (CV from 10% to 14.99%); D - Acceptable (CV from 15% to 24.99%); E - Use with caution (CV from 25% to 34.99%); F - Too unreliable to publish (CV greater than or equal to 35% or sample size is too small to produce reliable estimates).</t>
  </si>
  <si>
    <t>Goods producing industries (11-33N) includes the following sectors: forestry, logging and support (11N), mining, quarrying, and oil and gas extraction (21), utilities (22), construction (23) and manufacturing (31-33).</t>
  </si>
  <si>
    <t>Forestry, logging and support (11N) includes the following industries: forestry and logging (113) and support activities to forestry (1153).</t>
  </si>
  <si>
    <t>Non-durable goods (311N) of the manufacturing sector includes the following industries: food manufacturing (311), beverage and tobacco products manufacturing (312), textiles mills (313), textile products mills (314), clothing manufacturing (315), leather and allied products manufacturing (316), paper manufacturing (322), printing and related support activities (323), petroleum and coal products manufacturing (324), chemical manufacturing (325) and plastics and rubber products manufacturing (326).</t>
  </si>
  <si>
    <t>Durable goods (321N) of the manufacturing sector includes the following industries: wood products manufacturing (321), non-metallic mineral products manufacturing (327), primary metal manufacturing (331), fabricated metal products manufacturing (332), machinery manufacturing (333), computer and electronic products manufacturing (334), electrical equipment, appliances and components manufacturing (335), transportation equipment manufacturing (336), furniture and related products manufacturing (337) and miscellaneous manufacturing (339).</t>
  </si>
  <si>
    <t>Service producing industries (41-91N) includes the following industries: trade (41-45N), transportation and warehousing (48-49), information and cultural industries (51), finance and insurance (52), real estate and rental and leasing (53), professional, scientific and technical services (54), management of companies and enterprises (55), administrative and support, waste management and remediation services (56), educational services (61), health care and social assistance (62), arts, entertainment and recreation (71), accommodation and food services (72), other services (except public administration) (81) and public administration (91).</t>
  </si>
  <si>
    <t>Trade (41-45N) industry includes the following sectors: wholesale (41) and retail trade (44-45).</t>
  </si>
  <si>
    <t>Durable goods (321N) of the manufacturing sector includes the following industries: wood products manufacturing (321), non-metallic mineral products manufacturing (327), primary metal manufacturing (331), fabricated metal products manufacturing (332), machinery manufacturing (333), computer and electronic products manufacturing (334), electrical equipment, appliances and components manufacturing (335), transportation equipment manufacturing (336), furniture and related product manufacturing (337) and miscellaneous manufacturing (339).</t>
  </si>
  <si>
    <t>Source: Labour Statistics Division, Statistics Canada</t>
  </si>
  <si>
    <t>Some series exhibit no clear seasonal pattern. In such cases the data are not adjusted.</t>
  </si>
  <si>
    <t>The introduction of administrative data in 2001 and the associated change in methodology resulted in level shifts for some series. This affects the comparability of pre- and post-2001 estimates.</t>
  </si>
  <si>
    <t>Education special (611N) industry includes the following industries: elementary and secondary schools (6111), community colleges and CEGEP (6112), universities (6113), business schools and computer management training (6114) and technical and trade schools (6115).</t>
  </si>
  <si>
    <t>Estimates for the latest reference month are preliminary.</t>
  </si>
  <si>
    <t>Earnings data are based on gross payroll before source deductions.</t>
  </si>
  <si>
    <t>Average weekly earnings for the industrial aggregate, excluding unclassified businesses [11-91N] in Alberta; and service producing industries [41-91N] in Alberta as well as trade [41-45N] in Quebec for February 2004, 2008 and 2012 have been corrected.</t>
  </si>
  <si>
    <t>Industry estimates in this table are based on the 2012 North American Industry Classification System (NAICS).</t>
  </si>
  <si>
    <t>These terminated series are based on the North American Industry Classification System (NAICS) 2007.</t>
  </si>
  <si>
    <t>Table 281-0028 has been terminated. For more recent estimates, please see table 281-0063.</t>
  </si>
  <si>
    <r>
      <t>Source:</t>
    </r>
    <r>
      <rPr>
        <sz val="10"/>
        <color rgb="FF000000"/>
        <rFont val="Verdana"/>
        <family val="2"/>
      </rPr>
      <t>  Statistics Canada. </t>
    </r>
    <r>
      <rPr>
        <i/>
        <sz val="10"/>
        <color rgb="FF000000"/>
        <rFont val="Verdana"/>
        <family val="2"/>
      </rPr>
      <t>Table  281-0027 -  Average weekly earnings (SEPH), by type of employee for selected industries classified using the North American Industry Classification System (NAICS), annual (current dollars), </t>
    </r>
    <r>
      <rPr>
        <sz val="10"/>
        <color rgb="FF000000"/>
        <rFont val="Verdana"/>
        <family val="2"/>
      </rPr>
      <t> CANSIM (database). (accessed: 2014-02-26) </t>
    </r>
  </si>
  <si>
    <r>
      <t>Source:</t>
    </r>
    <r>
      <rPr>
        <sz val="10"/>
        <color rgb="FF000000"/>
        <rFont val="Verdana"/>
        <family val="2"/>
      </rPr>
      <t>  Statistics Canada. </t>
    </r>
    <r>
      <rPr>
        <i/>
        <sz val="10"/>
        <color rgb="FF000000"/>
        <rFont val="Verdana"/>
        <family val="2"/>
      </rPr>
      <t>Table  281-0028 -  Average weekly earnings (SEPH), including overtime, seasonally adjusted, for all employees, by selected industries classified using the North American Industry Classification System (NAICS), monthly (current dollars), </t>
    </r>
    <r>
      <rPr>
        <sz val="10"/>
        <color rgb="FF000000"/>
        <rFont val="Verdana"/>
        <family val="2"/>
      </rPr>
      <t> CANSIM (database). (accessed: 2014-02-26) </t>
    </r>
  </si>
  <si>
    <r>
      <t>Table</t>
    </r>
    <r>
      <rPr>
        <b/>
        <sz val="15"/>
        <color rgb="FF333333"/>
        <rFont val="Arial"/>
        <family val="2"/>
      </rPr>
      <t> </t>
    </r>
    <r>
      <rPr>
        <b/>
        <sz val="12"/>
        <color rgb="FF333333"/>
        <rFont val="Arial"/>
        <family val="2"/>
      </rPr>
      <t>384-0039</t>
    </r>
    <r>
      <rPr>
        <b/>
        <vertAlign val="superscript"/>
        <sz val="12"/>
        <color rgb="FF333333"/>
        <rFont val="Arial"/>
        <family val="2"/>
      </rPr>
      <t> </t>
    </r>
    <r>
      <rPr>
        <b/>
        <vertAlign val="superscript"/>
        <sz val="12"/>
        <color rgb="FF5A306B"/>
        <rFont val="Verdana"/>
        <family val="2"/>
      </rPr>
      <t>4</t>
    </r>
    <r>
      <rPr>
        <b/>
        <sz val="15"/>
        <color rgb="FF333333"/>
        <rFont val="Arial"/>
        <family val="2"/>
      </rPr>
      <t> </t>
    </r>
  </si>
  <si>
    <t>Implicit price indexes, gross domestic product, provincial and territorial</t>
  </si>
  <si>
    <t>annual (2007=100)</t>
  </si>
  <si>
    <t>Geography = Canada 1 </t>
  </si>
  <si>
    <t>Index = Implicit price indexes</t>
  </si>
  <si>
    <t>Estimates = Final domestic demand</t>
  </si>
  <si>
    <t>AVERAGE</t>
  </si>
  <si>
    <t>TFP Index</t>
  </si>
  <si>
    <t>Mod_ID</t>
  </si>
  <si>
    <t>Is it in the modeling? 1 = yes; 0 = no</t>
  </si>
  <si>
    <t>Labour Price Index</t>
  </si>
  <si>
    <t>Average</t>
  </si>
  <si>
    <t>Non-Labour Price Index</t>
  </si>
  <si>
    <t>I Price Index</t>
  </si>
  <si>
    <t>Quantity Sub-indexes Growth rates</t>
  </si>
  <si>
    <t>Industries</t>
  </si>
  <si>
    <t>Utilities</t>
  </si>
  <si>
    <t>(Ind) Labour Price Index</t>
  </si>
  <si>
    <t>I and O shares</t>
  </si>
  <si>
    <t>(Implicit) Price Indexes Growth Rates</t>
  </si>
  <si>
    <t>OPG Hydro Total</t>
  </si>
  <si>
    <t xml:space="preserve">OPG Hydro Group: </t>
  </si>
  <si>
    <t>O&amp;M Price Index</t>
  </si>
  <si>
    <t>O&amp;M Price Index Growth</t>
  </si>
  <si>
    <t>Accessed on April 30, 2014</t>
  </si>
  <si>
    <t>Geography = Ontario</t>
  </si>
  <si>
    <t>Canada</t>
  </si>
  <si>
    <t>Ontario</t>
  </si>
  <si>
    <t>Average TFP growth rate 
(2002-2012)</t>
  </si>
  <si>
    <t>Average (across same output specifications)</t>
  </si>
  <si>
    <t>Total O&amp;M and Capital vs MWh</t>
  </si>
  <si>
    <t>Average (across same input specifications)</t>
  </si>
  <si>
    <t>Total O&amp;M and Capital vs 75% MWh and 25% (InverseEFORindexgr)</t>
  </si>
  <si>
    <t>Total O&amp;M and Capital vs 50% MWh and 50% (InverseEFORindexgr)</t>
  </si>
  <si>
    <t>Total O&amp;M and Capital vs 25% MWh and 75% (InverseEFORindexgr)</t>
  </si>
  <si>
    <t>Total O&amp;M and Capital vs (InverseEFORindexgr)</t>
  </si>
  <si>
    <t>PacifiCorp</t>
  </si>
  <si>
    <t>PG&amp;E</t>
  </si>
  <si>
    <t>Duke</t>
  </si>
  <si>
    <t>PACIFIC GAS AND ELECTRIC COMPANY</t>
  </si>
  <si>
    <t>Duke Energy Carolinas, LLC</t>
  </si>
  <si>
    <t>VIRGINIA ELECTRIC AND POWER COMPANY</t>
  </si>
  <si>
    <t>Idaho Power Company</t>
  </si>
  <si>
    <t>ALABAMA POWER COMPANY</t>
  </si>
  <si>
    <t>Southern California Edison Company</t>
  </si>
  <si>
    <t>Georgia Power Company</t>
  </si>
  <si>
    <t>Avista Corporation</t>
  </si>
  <si>
    <t>Portland General Electric Company</t>
  </si>
  <si>
    <t>UNION ELECTRIC COMPANY</t>
  </si>
  <si>
    <t>Appalachian Power Company</t>
  </si>
  <si>
    <t>South Carolina Electric &amp; Gas Company</t>
  </si>
  <si>
    <t>Alcoa Power Generating Inc.</t>
  </si>
  <si>
    <t>Short name</t>
  </si>
  <si>
    <t>VA Electric</t>
  </si>
  <si>
    <t>ID Power</t>
  </si>
  <si>
    <t>AB Power</t>
  </si>
  <si>
    <t>SoCal Edison</t>
  </si>
  <si>
    <t>GA Power</t>
  </si>
  <si>
    <t>Avista</t>
  </si>
  <si>
    <t>Portland</t>
  </si>
  <si>
    <t>Ameren MI - Union</t>
  </si>
  <si>
    <t>Full utility name</t>
  </si>
  <si>
    <t>SCE&amp;G</t>
  </si>
  <si>
    <t>Alcoa</t>
  </si>
  <si>
    <t>AP Power</t>
  </si>
  <si>
    <t>Peer Industry</t>
  </si>
  <si>
    <t>OPG Hydro Peer Industry Total</t>
  </si>
  <si>
    <t>OPG data only (data from OPG)</t>
  </si>
  <si>
    <t>Labor OM&amp;A share combined</t>
  </si>
  <si>
    <t>Other OM&amp;A share combined</t>
  </si>
  <si>
    <t>EUCG data (industry)</t>
  </si>
  <si>
    <t>Labour Share based on 
Total OM&amp;A (Operations+Maintenance+Environment &amp; Regulatory+Land &amp; Water Rental Fees + Administration)</t>
  </si>
  <si>
    <t>Labour Share based on OM&amp;A, less Water Rentals/Fees  and Indirect Admin</t>
  </si>
  <si>
    <t>Labour Share based on O&amp;M</t>
  </si>
  <si>
    <t>O&amp;M_total</t>
  </si>
  <si>
    <t>Non-labour_O&amp;M</t>
  </si>
  <si>
    <t>Labour_O&amp;M</t>
  </si>
  <si>
    <t>O&amp;M Share</t>
  </si>
  <si>
    <t>Labour O&amp;M Share</t>
  </si>
  <si>
    <t>Non-labour O&amp;M Share</t>
  </si>
  <si>
    <t>Capacity Factor</t>
  </si>
  <si>
    <t>O&amp;M price index</t>
  </si>
  <si>
    <t>Sub-index</t>
  </si>
  <si>
    <t>unit</t>
  </si>
  <si>
    <t>(Ontario) 
Average Weekly Earnings, Industrial</t>
  </si>
  <si>
    <t>(Ontario)
Industrial Labour Index Growth</t>
  </si>
  <si>
    <t>(Ontario)
Average Weekly Earnings, Utilities</t>
  </si>
  <si>
    <t>(Ontario) 
Utilities Labour Index Growth</t>
  </si>
  <si>
    <t>(Canada) 
GDP-IPI FDD</t>
  </si>
  <si>
    <t>(Canada)
GDP-IPI FDD Growth</t>
  </si>
  <si>
    <t>On+Can</t>
  </si>
  <si>
    <t>Note: Indices are for United States</t>
  </si>
  <si>
    <t>USA</t>
  </si>
  <si>
    <t>Qtr1</t>
  </si>
  <si>
    <t>Qtr2</t>
  </si>
  <si>
    <t>Qtr3</t>
  </si>
  <si>
    <t>Qtr4</t>
  </si>
  <si>
    <t>Annual</t>
  </si>
  <si>
    <t>(USA)
Employment Cost Index, Utilities</t>
  </si>
  <si>
    <t>(USA)
Labour Index Growth</t>
  </si>
  <si>
    <t>(USA)
GDP Price Index</t>
  </si>
  <si>
    <t>(USA)
GDP-PI Growth</t>
  </si>
  <si>
    <t>Table 1.1.9. Implicit Price Deflators for Gross Domestic Product</t>
  </si>
  <si>
    <t>[Index numbers, 2009=100]</t>
  </si>
  <si>
    <t>Bureau of Economic Analysis</t>
  </si>
  <si>
    <t>Last Revised on: April 30, 2014 - Next Release Date May 29, 2014</t>
  </si>
  <si>
    <t>accessed on May 22, 2014</t>
  </si>
  <si>
    <t xml:space="preserve">source: </t>
  </si>
  <si>
    <t>http://www.bea.gov/iTable/iTable.cfm?ReqID=9&amp;step=1#reqid=9&amp;step=3&amp;isuri=1&amp;910=x&amp;911=0&amp;903=13&amp;904=2000&amp;905=2013&amp;906=a</t>
  </si>
  <si>
    <t>2000</t>
  </si>
  <si>
    <t>2001</t>
  </si>
  <si>
    <t>2002</t>
  </si>
  <si>
    <t>2003</t>
  </si>
  <si>
    <t>2004</t>
  </si>
  <si>
    <t>2005</t>
  </si>
  <si>
    <t>2006</t>
  </si>
  <si>
    <t>2007</t>
  </si>
  <si>
    <t>2008</t>
  </si>
  <si>
    <t>2009</t>
  </si>
  <si>
    <t>2010</t>
  </si>
  <si>
    <t>2011</t>
  </si>
  <si>
    <t>2012</t>
  </si>
  <si>
    <t>2013</t>
  </si>
  <si>
    <t>GDP-PI</t>
  </si>
  <si>
    <t>Note: combined index for North America (based on O&amp;M share)</t>
  </si>
  <si>
    <t>O&amp;M share of Canada</t>
  </si>
  <si>
    <t>O&amp;M share of US</t>
  </si>
  <si>
    <t>O&amp;M industry share</t>
  </si>
  <si>
    <t>CA</t>
  </si>
  <si>
    <t>US</t>
  </si>
  <si>
    <t>NA</t>
  </si>
  <si>
    <t>O&amp;M</t>
  </si>
  <si>
    <t>Model specifications for OPG only</t>
  </si>
  <si>
    <t>Model specifications for OPG hydro FF1 peers</t>
  </si>
  <si>
    <t>Hydroelectric Operations business</t>
  </si>
  <si>
    <t>Input index growth</t>
  </si>
  <si>
    <t>Output index growth</t>
  </si>
  <si>
    <t>TFP index Growth</t>
  </si>
  <si>
    <t>CA/US O&amp;M share</t>
  </si>
  <si>
    <t>EUCG L shares</t>
  </si>
  <si>
    <t>O&amp;M price index growth</t>
  </si>
  <si>
    <t>SEPA</t>
  </si>
  <si>
    <t>Southeastern Power Administration</t>
  </si>
  <si>
    <t>Seattle</t>
  </si>
  <si>
    <t>Seattle City Light</t>
  </si>
  <si>
    <t>Peer Industry less OPG</t>
  </si>
  <si>
    <t>Peer Industry Total (without OPG)</t>
  </si>
  <si>
    <t>2002-2003</t>
  </si>
  <si>
    <t>2003-2004</t>
  </si>
  <si>
    <t>2004-2005</t>
  </si>
  <si>
    <t>2005-2006</t>
  </si>
  <si>
    <t>2006-2007</t>
  </si>
  <si>
    <t>2007-2008</t>
  </si>
  <si>
    <t>2008-2009</t>
  </si>
  <si>
    <t>2009-2010</t>
  </si>
  <si>
    <t>2010-2011</t>
  </si>
  <si>
    <t>2011-2012</t>
  </si>
  <si>
    <t>O&amp;M Price Index Growth Rates</t>
  </si>
  <si>
    <t>O&amp;M Price Index Growth Rates (%)</t>
  </si>
  <si>
    <t>Labour Price Index Growth</t>
  </si>
  <si>
    <t>Non-Labour Price Index Growth</t>
  </si>
  <si>
    <t xml:space="preserve">O&amp;M Price Index </t>
  </si>
  <si>
    <t>Calculating NA L/NL/O&amp;M growths</t>
  </si>
  <si>
    <t>Average GR</t>
  </si>
  <si>
    <t>Prepared by:</t>
  </si>
  <si>
    <t>London Economics International LLC</t>
  </si>
  <si>
    <t>Prepared for:</t>
  </si>
  <si>
    <t>Ontario Power Generation</t>
  </si>
  <si>
    <t>in support of incentive rate-making for OPG’s prescribed assets</t>
  </si>
  <si>
    <t>Total Factor Productivity in North American Hydroelectric Generation</t>
  </si>
  <si>
    <t>T</t>
  </si>
  <si>
    <t>Natural log of TFP index values</t>
  </si>
  <si>
    <r>
      <rPr>
        <b/>
        <sz val="11"/>
        <color theme="1"/>
        <rFont val="Book Antiqua"/>
        <family val="1"/>
      </rPr>
      <t>Note:</t>
    </r>
    <r>
      <rPr>
        <sz val="11"/>
        <color theme="1"/>
        <rFont val="Book Antiqua"/>
        <family val="1"/>
      </rPr>
      <t xml:space="preserve"> Unless otherwise stated, all directions will refer to information contained in the </t>
    </r>
    <r>
      <rPr>
        <b/>
        <sz val="11"/>
        <color theme="1"/>
        <rFont val="Book Antiqua"/>
        <family val="1"/>
      </rPr>
      <t>"TFP_Calcs" worksheet</t>
    </r>
  </si>
  <si>
    <t>The tables illustrate how data from Step 2 is used to calculate the quantity sub-indexes of Input (K), Input (O&amp;M) and Output (MWh), with 2002 as base year</t>
  </si>
  <si>
    <t>Quantity Sub-indexes Growth rates show the growth rates of the quantity sub-index. Average values for all three are highlighted</t>
  </si>
  <si>
    <t>Worksheets:</t>
  </si>
  <si>
    <r>
      <rPr>
        <b/>
        <sz val="11"/>
        <rFont val="Book Antiqua"/>
        <family val="1"/>
      </rPr>
      <t xml:space="preserve">TFP_Calcs: </t>
    </r>
    <r>
      <rPr>
        <sz val="11"/>
        <rFont val="Book Antiqua"/>
        <family val="1"/>
      </rPr>
      <t>Contains the model, provides the method of calculating TFP Index growth</t>
    </r>
  </si>
  <si>
    <r>
      <rPr>
        <b/>
        <sz val="11"/>
        <rFont val="Book Antiqua"/>
        <family val="1"/>
      </rPr>
      <t xml:space="preserve">OPG hydro peers: </t>
    </r>
    <r>
      <rPr>
        <sz val="11"/>
        <rFont val="Book Antiqua"/>
        <family val="1"/>
      </rPr>
      <t>Contains list of all peers and locations (CA or US)</t>
    </r>
  </si>
  <si>
    <r>
      <rPr>
        <b/>
        <sz val="11"/>
        <rFont val="Book Antiqua"/>
        <family val="1"/>
      </rPr>
      <t xml:space="preserve">EUCG L Share: </t>
    </r>
    <r>
      <rPr>
        <sz val="11"/>
        <rFont val="Book Antiqua"/>
        <family val="1"/>
      </rPr>
      <t>Provides industry level labour share of Operations and Maintenance, based on EUCG data</t>
    </r>
  </si>
  <si>
    <t>Step 1: Select peers from dropdown in cell C2 (note TFP results for both methods are visible in cells G2 and J2 respectively)</t>
  </si>
  <si>
    <t>Step 2: Prepare data, including capacity, O&amp;M, net generation, and O&amp;M price index</t>
  </si>
  <si>
    <r>
      <t xml:space="preserve">Step 3: Calculate </t>
    </r>
    <r>
      <rPr>
        <b/>
        <u/>
        <sz val="10"/>
        <color theme="1"/>
        <rFont val="Book Antiqua"/>
        <family val="1"/>
      </rPr>
      <t>quantity</t>
    </r>
    <r>
      <rPr>
        <b/>
        <sz val="10"/>
        <color theme="1"/>
        <rFont val="Book Antiqua"/>
        <family val="1"/>
      </rPr>
      <t xml:space="preserve"> sub-indexes and sub index growth rates</t>
    </r>
  </si>
  <si>
    <r>
      <t xml:space="preserve">Step 4: Calculate </t>
    </r>
    <r>
      <rPr>
        <b/>
        <u/>
        <sz val="10"/>
        <color theme="1"/>
        <rFont val="Book Antiqua"/>
        <family val="1"/>
      </rPr>
      <t>implicit</t>
    </r>
    <r>
      <rPr>
        <b/>
        <sz val="10"/>
        <color theme="1"/>
        <rFont val="Book Antiqua"/>
        <family val="1"/>
      </rPr>
      <t xml:space="preserve"> price indexes and sub index growth rates</t>
    </r>
  </si>
  <si>
    <t>Step 6: Calculate the Laspeyres, Paasche, and Fisher Ideal total Input, total Output, and Total Factor Productivity Indexes</t>
  </si>
  <si>
    <t xml:space="preserve">Step 5: Calculate the year over year changes to Laspeyres, Paasche, and Fisher total Input and total Output Indexes </t>
  </si>
  <si>
    <t>A) Average growth method of measuring TFP</t>
  </si>
  <si>
    <t>B) Trend regression method of measuring TFP</t>
  </si>
  <si>
    <t>Step 7: Calculate TFP growth rates using 'average growth' and 'trend regression' methods</t>
  </si>
  <si>
    <t>Gross domestic product</t>
  </si>
  <si>
    <t>WAPA</t>
  </si>
  <si>
    <t>Western Area Power Administration</t>
  </si>
  <si>
    <t>average 2002-2014</t>
  </si>
  <si>
    <t>2014</t>
  </si>
  <si>
    <t>http://data.bls.gov/timeseries/CIU2024400000000I</t>
  </si>
  <si>
    <t>Employment Cost Index</t>
  </si>
  <si>
    <t>Original Data Value</t>
  </si>
  <si>
    <t>Series Id:</t>
  </si>
  <si>
    <t>CIU2024400000000I</t>
  </si>
  <si>
    <t>Series Title:</t>
  </si>
  <si>
    <t>Wages and salaries for Private industry workers in Utilities, Index</t>
  </si>
  <si>
    <t>Ownership:</t>
  </si>
  <si>
    <t>Private industry workers</t>
  </si>
  <si>
    <t>Component:</t>
  </si>
  <si>
    <t>Wages and salaries</t>
  </si>
  <si>
    <t>Occupation:</t>
  </si>
  <si>
    <t>All workers</t>
  </si>
  <si>
    <t>Industry:</t>
  </si>
  <si>
    <t>Subcategory:</t>
  </si>
  <si>
    <t>Area:</t>
  </si>
  <si>
    <t>United States (National)</t>
  </si>
  <si>
    <t>Periodicity:</t>
  </si>
  <si>
    <t>Index number</t>
  </si>
  <si>
    <t>Years:</t>
  </si>
  <si>
    <t>2001 to 2015</t>
  </si>
  <si>
    <t>Source:</t>
  </si>
  <si>
    <t>2012-2013</t>
  </si>
  <si>
    <t>2013-2014</t>
  </si>
  <si>
    <t>Average TFP growth (2002-2014)</t>
  </si>
  <si>
    <t>TFP trend growth rate (2002-2014):</t>
  </si>
  <si>
    <t>Accessed on January 5, 2016</t>
  </si>
  <si>
    <r>
      <t>TFP_dataset:</t>
    </r>
    <r>
      <rPr>
        <sz val="11"/>
        <rFont val="Book Antiqua"/>
        <family val="1"/>
      </rPr>
      <t xml:space="preserve"> Contains all the data relevant to OPG and 17 peers</t>
    </r>
  </si>
  <si>
    <t>Step 3: Calculate quantity sub-indexes and sub-index growth rates (Row 23-38):</t>
  </si>
  <si>
    <r>
      <t xml:space="preserve">Step 4: Calculate implicit price indexes and sub-index growth rates (Row 42-57): </t>
    </r>
    <r>
      <rPr>
        <sz val="11"/>
        <color theme="1"/>
        <rFont val="Book Antiqua"/>
        <family val="1"/>
      </rPr>
      <t>This is an implicit calculation step necessary for the calculation of the combined input and output indices</t>
    </r>
  </si>
  <si>
    <t>Step 5: Calculate the year over year changes to Laspeyres, Paasche, and Fisher total Input and total Output indices (Row 61-76)</t>
  </si>
  <si>
    <t>Step 6: Calculate the Laspeyres, Paasche, and Fisher Ideal total Input, total Output, and Total Factor Productivity Indexes (Row 79-94)</t>
  </si>
  <si>
    <t>Julia Frayer, Ian Chow, Barbara Porto, and Jarome Leslie</t>
  </si>
  <si>
    <t>Natural log of TFP input values</t>
  </si>
  <si>
    <t>TFP input index (2002-2014):</t>
  </si>
  <si>
    <t>Natural log of TFP output values</t>
  </si>
  <si>
    <t>TFP output index (2002-2014):</t>
  </si>
  <si>
    <r>
      <t xml:space="preserve">US BLS &amp; BEA tables: </t>
    </r>
    <r>
      <rPr>
        <sz val="11"/>
        <rFont val="Book Antiqua"/>
        <family val="1"/>
      </rPr>
      <t>Provides the Bureau of Labour Statistics and the Bureau of Economic Analysis data used in the US O&amp;M price indexes worksheet</t>
    </r>
  </si>
  <si>
    <r>
      <rPr>
        <b/>
        <sz val="11"/>
        <rFont val="Book Antiqua"/>
        <family val="1"/>
      </rPr>
      <t>StatsCan CANSIM tables:</t>
    </r>
    <r>
      <rPr>
        <sz val="11"/>
        <rFont val="Book Antiqua"/>
        <family val="1"/>
      </rPr>
      <t xml:space="preserve"> Provides the StatsCan data that is used in the 'Canadian O&amp;M price indexes' worksheet</t>
    </r>
  </si>
  <si>
    <r>
      <rPr>
        <b/>
        <sz val="11"/>
        <rFont val="Book Antiqua"/>
        <family val="1"/>
      </rPr>
      <t>US O&amp;M price indexes:</t>
    </r>
    <r>
      <rPr>
        <sz val="11"/>
        <rFont val="Book Antiqua"/>
        <family val="1"/>
      </rPr>
      <t xml:space="preserve"> Provides 2002-2014 price indexes for U.S.</t>
    </r>
  </si>
  <si>
    <r>
      <t xml:space="preserve">NA comb O&amp;M price indexes: </t>
    </r>
    <r>
      <rPr>
        <sz val="11"/>
        <rFont val="Book Antiqua"/>
        <family val="1"/>
      </rPr>
      <t>Provides 2002-2014 price indexes for peer group by combining Canadian and US prices indexes</t>
    </r>
  </si>
  <si>
    <r>
      <rPr>
        <b/>
        <sz val="11"/>
        <color theme="1"/>
        <rFont val="Book Antiqua"/>
        <family val="1"/>
      </rPr>
      <t>Step 1: Select peer from dropdown menu (Cell C2):</t>
    </r>
    <r>
      <rPr>
        <sz val="11"/>
        <color theme="1"/>
        <rFont val="Book Antiqua"/>
        <family val="1"/>
      </rPr>
      <t xml:space="preserve"> </t>
    </r>
  </si>
  <si>
    <t>The dropdown will show results based on peer or peer group selected. Contains individual information on OPG and 17 peers, as well as 'Peer Industry' and 'Peer Industry less OPG'.</t>
  </si>
  <si>
    <t xml:space="preserve"> The peer industry includes OPG, 14 US investor owned firms that filed FERC Form 1, 2 federally regulated firms, and 1 municipal</t>
  </si>
  <si>
    <t xml:space="preserve">Step 2: Prepare data for the model (Row 5-19): </t>
  </si>
  <si>
    <t xml:space="preserve">This contains data including capacity, O&amp;M and net generation. All data here refers back to the full dataset in "TFP_dataset" tab, with the exception of O&amp;M Price Index, </t>
  </si>
  <si>
    <t>which refers back to "NA comb O&amp;M price indexes"</t>
  </si>
  <si>
    <t xml:space="preserve">Step 7: Calculate TFP growth rates using 'average growth' and 'trend regression' methods (Row 97-112): </t>
  </si>
  <si>
    <r>
      <rPr>
        <b/>
        <sz val="11"/>
        <rFont val="Book Antiqua"/>
        <family val="1"/>
      </rPr>
      <t xml:space="preserve">Can O&amp;M price indexes: </t>
    </r>
    <r>
      <rPr>
        <sz val="11"/>
        <rFont val="Book Antiqua"/>
        <family val="1"/>
      </rPr>
      <t>Provides 2002-2014 price indexes for Canada</t>
    </r>
  </si>
  <si>
    <r>
      <t>848.85</t>
    </r>
    <r>
      <rPr>
        <vertAlign val="superscript"/>
        <sz val="8"/>
        <color rgb="FF00B050"/>
        <rFont val="Verdana"/>
        <family val="2"/>
      </rPr>
      <t>A</t>
    </r>
  </si>
  <si>
    <r>
      <t>881.43</t>
    </r>
    <r>
      <rPr>
        <vertAlign val="superscript"/>
        <sz val="8"/>
        <color rgb="FF00B050"/>
        <rFont val="Verdana"/>
        <family val="2"/>
      </rPr>
      <t>A</t>
    </r>
  </si>
  <si>
    <r>
      <t>893.41</t>
    </r>
    <r>
      <rPr>
        <vertAlign val="superscript"/>
        <sz val="8"/>
        <color rgb="FF00B050"/>
        <rFont val="Verdana"/>
        <family val="2"/>
      </rPr>
      <t>A</t>
    </r>
  </si>
  <si>
    <r>
      <t>906.09</t>
    </r>
    <r>
      <rPr>
        <vertAlign val="superscript"/>
        <sz val="8"/>
        <color rgb="FF00B050"/>
        <rFont val="Verdana"/>
        <family val="2"/>
      </rPr>
      <t>A</t>
    </r>
  </si>
  <si>
    <r>
      <t>920.12</t>
    </r>
    <r>
      <rPr>
        <vertAlign val="superscript"/>
        <sz val="8"/>
        <color rgb="FF00B050"/>
        <rFont val="Verdana"/>
        <family val="2"/>
      </rPr>
      <t>A</t>
    </r>
  </si>
  <si>
    <r>
      <t>938.36</t>
    </r>
    <r>
      <rPr>
        <vertAlign val="superscript"/>
        <sz val="8"/>
        <color rgb="FF00B050"/>
        <rFont val="Verdana"/>
        <family val="2"/>
      </rPr>
      <t>A</t>
    </r>
  </si>
  <si>
    <r>
      <t>1,672.72</t>
    </r>
    <r>
      <rPr>
        <vertAlign val="superscript"/>
        <sz val="8"/>
        <color rgb="FF00B050"/>
        <rFont val="Verdana"/>
        <family val="2"/>
      </rPr>
      <t>A</t>
    </r>
  </si>
  <si>
    <r>
      <t>1,680.01</t>
    </r>
    <r>
      <rPr>
        <vertAlign val="superscript"/>
        <sz val="8"/>
        <color rgb="FF00B050"/>
        <rFont val="Verdana"/>
        <family val="2"/>
      </rPr>
      <t>A</t>
    </r>
  </si>
  <si>
    <r>
      <t>1,714.92</t>
    </r>
    <r>
      <rPr>
        <vertAlign val="superscript"/>
        <sz val="8"/>
        <color rgb="FF00B050"/>
        <rFont val="Verdana"/>
        <family val="2"/>
      </rPr>
      <t>A</t>
    </r>
  </si>
  <si>
    <r>
      <t>1,707.11</t>
    </r>
    <r>
      <rPr>
        <vertAlign val="superscript"/>
        <sz val="8"/>
        <color rgb="FF00B050"/>
        <rFont val="Verdana"/>
        <family val="2"/>
      </rPr>
      <t>A</t>
    </r>
  </si>
  <si>
    <r>
      <t>1,758.79</t>
    </r>
    <r>
      <rPr>
        <vertAlign val="superscript"/>
        <sz val="8"/>
        <color rgb="FF00B050"/>
        <rFont val="Verdana"/>
        <family val="2"/>
      </rPr>
      <t>A</t>
    </r>
  </si>
  <si>
    <r>
      <t>1,915.37</t>
    </r>
    <r>
      <rPr>
        <vertAlign val="superscript"/>
        <sz val="8"/>
        <color rgb="FF00B050"/>
        <rFont val="Verdana"/>
        <family val="2"/>
      </rPr>
      <t>A</t>
    </r>
  </si>
  <si>
    <r>
      <t>560.53</t>
    </r>
    <r>
      <rPr>
        <vertAlign val="superscript"/>
        <sz val="8"/>
        <color rgb="FF00B050"/>
        <rFont val="Verdana"/>
        <family val="2"/>
      </rPr>
      <t>(T)</t>
    </r>
  </si>
  <si>
    <r>
      <t>567.77</t>
    </r>
    <r>
      <rPr>
        <vertAlign val="superscript"/>
        <sz val="8"/>
        <color rgb="FF00B050"/>
        <rFont val="Verdana"/>
        <family val="2"/>
      </rPr>
      <t>(T)</t>
    </r>
  </si>
  <si>
    <r>
      <t>567.83</t>
    </r>
    <r>
      <rPr>
        <vertAlign val="superscript"/>
        <sz val="8"/>
        <color rgb="FF00B050"/>
        <rFont val="Verdana"/>
        <family val="2"/>
      </rPr>
      <t>(T)</t>
    </r>
  </si>
  <si>
    <r>
      <t>570.77</t>
    </r>
    <r>
      <rPr>
        <vertAlign val="superscript"/>
        <sz val="8"/>
        <color rgb="FF00B050"/>
        <rFont val="Verdana"/>
        <family val="2"/>
      </rPr>
      <t>(T)</t>
    </r>
  </si>
  <si>
    <r>
      <t>573.76</t>
    </r>
    <r>
      <rPr>
        <vertAlign val="superscript"/>
        <sz val="8"/>
        <color rgb="FF00B050"/>
        <rFont val="Verdana"/>
        <family val="2"/>
      </rPr>
      <t>(T)</t>
    </r>
  </si>
  <si>
    <r>
      <t>575.57</t>
    </r>
    <r>
      <rPr>
        <vertAlign val="superscript"/>
        <sz val="8"/>
        <color rgb="FF00B050"/>
        <rFont val="Verdana"/>
        <family val="2"/>
      </rPr>
      <t>(T)</t>
    </r>
  </si>
  <si>
    <r>
      <t>576.99</t>
    </r>
    <r>
      <rPr>
        <vertAlign val="superscript"/>
        <sz val="8"/>
        <color rgb="FF00B050"/>
        <rFont val="Verdana"/>
        <family val="2"/>
      </rPr>
      <t>(T)</t>
    </r>
  </si>
  <si>
    <r>
      <t>579.08</t>
    </r>
    <r>
      <rPr>
        <vertAlign val="superscript"/>
        <sz val="8"/>
        <color rgb="FF00B050"/>
        <rFont val="Verdana"/>
        <family val="2"/>
      </rPr>
      <t>(T)</t>
    </r>
  </si>
  <si>
    <r>
      <t>580.44</t>
    </r>
    <r>
      <rPr>
        <vertAlign val="superscript"/>
        <sz val="8"/>
        <color rgb="FF00B050"/>
        <rFont val="Verdana"/>
        <family val="2"/>
      </rPr>
      <t>(T)</t>
    </r>
  </si>
  <si>
    <r>
      <t>584.44</t>
    </r>
    <r>
      <rPr>
        <vertAlign val="superscript"/>
        <sz val="8"/>
        <color rgb="FF00B050"/>
        <rFont val="Verdana"/>
        <family val="2"/>
      </rPr>
      <t>(T)</t>
    </r>
  </si>
  <si>
    <r>
      <t>585.23</t>
    </r>
    <r>
      <rPr>
        <vertAlign val="superscript"/>
        <sz val="8"/>
        <color rgb="FF00B050"/>
        <rFont val="Verdana"/>
        <family val="2"/>
      </rPr>
      <t>(T)</t>
    </r>
  </si>
  <si>
    <r>
      <t>588.43</t>
    </r>
    <r>
      <rPr>
        <vertAlign val="superscript"/>
        <sz val="8"/>
        <color rgb="FF00B050"/>
        <rFont val="Verdana"/>
        <family val="2"/>
      </rPr>
      <t>(T)</t>
    </r>
  </si>
  <si>
    <r>
      <t>589.81</t>
    </r>
    <r>
      <rPr>
        <vertAlign val="superscript"/>
        <sz val="8"/>
        <color rgb="FF00B050"/>
        <rFont val="Verdana"/>
        <family val="2"/>
      </rPr>
      <t>(T)</t>
    </r>
  </si>
  <si>
    <r>
      <t>590.87</t>
    </r>
    <r>
      <rPr>
        <vertAlign val="superscript"/>
        <sz val="8"/>
        <color rgb="FF00B050"/>
        <rFont val="Verdana"/>
        <family val="2"/>
      </rPr>
      <t>(T)</t>
    </r>
  </si>
  <si>
    <r>
      <t>588.05</t>
    </r>
    <r>
      <rPr>
        <vertAlign val="superscript"/>
        <sz val="8"/>
        <color rgb="FF00B050"/>
        <rFont val="Verdana"/>
        <family val="2"/>
      </rPr>
      <t>(T)</t>
    </r>
  </si>
  <si>
    <r>
      <t>593.11</t>
    </r>
    <r>
      <rPr>
        <vertAlign val="superscript"/>
        <sz val="8"/>
        <color rgb="FF00B050"/>
        <rFont val="Verdana"/>
        <family val="2"/>
      </rPr>
      <t>(T)</t>
    </r>
  </si>
  <si>
    <r>
      <t>598.11</t>
    </r>
    <r>
      <rPr>
        <vertAlign val="superscript"/>
        <sz val="8"/>
        <color rgb="FF00B050"/>
        <rFont val="Verdana"/>
        <family val="2"/>
      </rPr>
      <t>(T)</t>
    </r>
  </si>
  <si>
    <r>
      <t>596.75</t>
    </r>
    <r>
      <rPr>
        <vertAlign val="superscript"/>
        <sz val="8"/>
        <color rgb="FF00B050"/>
        <rFont val="Verdana"/>
        <family val="2"/>
      </rPr>
      <t>(T)</t>
    </r>
  </si>
  <si>
    <r>
      <t>599.74</t>
    </r>
    <r>
      <rPr>
        <vertAlign val="superscript"/>
        <sz val="8"/>
        <color rgb="FF00B050"/>
        <rFont val="Verdana"/>
        <family val="2"/>
      </rPr>
      <t>(T)</t>
    </r>
  </si>
  <si>
    <r>
      <t>603.59</t>
    </r>
    <r>
      <rPr>
        <vertAlign val="superscript"/>
        <sz val="8"/>
        <color rgb="FF00B050"/>
        <rFont val="Verdana"/>
        <family val="2"/>
      </rPr>
      <t>(T)</t>
    </r>
  </si>
  <si>
    <r>
      <t>603.43</t>
    </r>
    <r>
      <rPr>
        <vertAlign val="superscript"/>
        <sz val="8"/>
        <color rgb="FF00B050"/>
        <rFont val="Verdana"/>
        <family val="2"/>
      </rPr>
      <t>(T)</t>
    </r>
  </si>
  <si>
    <r>
      <t>606.19</t>
    </r>
    <r>
      <rPr>
        <vertAlign val="superscript"/>
        <sz val="8"/>
        <color rgb="FF00B050"/>
        <rFont val="Verdana"/>
        <family val="2"/>
      </rPr>
      <t>(T)</t>
    </r>
  </si>
  <si>
    <r>
      <t>606.20</t>
    </r>
    <r>
      <rPr>
        <vertAlign val="superscript"/>
        <sz val="8"/>
        <color rgb="FF00B050"/>
        <rFont val="Verdana"/>
        <family val="2"/>
      </rPr>
      <t>(T)</t>
    </r>
  </si>
  <si>
    <r>
      <t>606.98</t>
    </r>
    <r>
      <rPr>
        <vertAlign val="superscript"/>
        <sz val="8"/>
        <color rgb="FF00B050"/>
        <rFont val="Verdana"/>
        <family val="2"/>
      </rPr>
      <t>(T)</t>
    </r>
  </si>
  <si>
    <r>
      <t>608.85</t>
    </r>
    <r>
      <rPr>
        <vertAlign val="superscript"/>
        <sz val="8"/>
        <color rgb="FF00B050"/>
        <rFont val="Verdana"/>
        <family val="2"/>
      </rPr>
      <t>(T)</t>
    </r>
  </si>
  <si>
    <r>
      <t>608.64</t>
    </r>
    <r>
      <rPr>
        <vertAlign val="superscript"/>
        <sz val="8"/>
        <color rgb="FF00B050"/>
        <rFont val="Verdana"/>
        <family val="2"/>
      </rPr>
      <t>(T)</t>
    </r>
  </si>
  <si>
    <r>
      <t>608.37</t>
    </r>
    <r>
      <rPr>
        <vertAlign val="superscript"/>
        <sz val="8"/>
        <color rgb="FF00B050"/>
        <rFont val="Verdana"/>
        <family val="2"/>
      </rPr>
      <t>(T)</t>
    </r>
  </si>
  <si>
    <r>
      <t>611.73</t>
    </r>
    <r>
      <rPr>
        <vertAlign val="superscript"/>
        <sz val="8"/>
        <color rgb="FF00B050"/>
        <rFont val="Verdana"/>
        <family val="2"/>
      </rPr>
      <t>(T)</t>
    </r>
  </si>
  <si>
    <r>
      <t>610.23</t>
    </r>
    <r>
      <rPr>
        <vertAlign val="superscript"/>
        <sz val="8"/>
        <color rgb="FF00B050"/>
        <rFont val="Verdana"/>
        <family val="2"/>
      </rPr>
      <t>(T)</t>
    </r>
  </si>
  <si>
    <r>
      <t>611.22</t>
    </r>
    <r>
      <rPr>
        <vertAlign val="superscript"/>
        <sz val="8"/>
        <color rgb="FF00B050"/>
        <rFont val="Verdana"/>
        <family val="2"/>
      </rPr>
      <t>(T)</t>
    </r>
  </si>
  <si>
    <r>
      <t>613.60</t>
    </r>
    <r>
      <rPr>
        <vertAlign val="superscript"/>
        <sz val="8"/>
        <color rgb="FF00B050"/>
        <rFont val="Verdana"/>
        <family val="2"/>
      </rPr>
      <t>(T)</t>
    </r>
  </si>
  <si>
    <r>
      <t>612.12</t>
    </r>
    <r>
      <rPr>
        <vertAlign val="superscript"/>
        <sz val="8"/>
        <color rgb="FF00B050"/>
        <rFont val="Verdana"/>
        <family val="2"/>
      </rPr>
      <t>(T)</t>
    </r>
  </si>
  <si>
    <r>
      <t>613.91</t>
    </r>
    <r>
      <rPr>
        <vertAlign val="superscript"/>
        <sz val="8"/>
        <color rgb="FF00B050"/>
        <rFont val="Verdana"/>
        <family val="2"/>
      </rPr>
      <t>(T)</t>
    </r>
  </si>
  <si>
    <r>
      <t>614.54</t>
    </r>
    <r>
      <rPr>
        <vertAlign val="superscript"/>
        <sz val="8"/>
        <color rgb="FF00B050"/>
        <rFont val="Verdana"/>
        <family val="2"/>
      </rPr>
      <t>(T)</t>
    </r>
  </si>
  <si>
    <r>
      <t>615.18</t>
    </r>
    <r>
      <rPr>
        <vertAlign val="superscript"/>
        <sz val="8"/>
        <color rgb="FF00B050"/>
        <rFont val="Verdana"/>
        <family val="2"/>
      </rPr>
      <t>(T)</t>
    </r>
  </si>
  <si>
    <r>
      <t>616.91</t>
    </r>
    <r>
      <rPr>
        <vertAlign val="superscript"/>
        <sz val="8"/>
        <color rgb="FF00B050"/>
        <rFont val="Verdana"/>
        <family val="2"/>
      </rPr>
      <t>(T)</t>
    </r>
  </si>
  <si>
    <r>
      <t>617.54</t>
    </r>
    <r>
      <rPr>
        <vertAlign val="superscript"/>
        <sz val="8"/>
        <color rgb="FF00B050"/>
        <rFont val="Verdana"/>
        <family val="2"/>
      </rPr>
      <t>(T)</t>
    </r>
  </si>
  <si>
    <r>
      <t>619.45</t>
    </r>
    <r>
      <rPr>
        <vertAlign val="superscript"/>
        <sz val="8"/>
        <color rgb="FF00B050"/>
        <rFont val="Verdana"/>
        <family val="2"/>
      </rPr>
      <t>(T)</t>
    </r>
  </si>
  <si>
    <r>
      <t>624.42</t>
    </r>
    <r>
      <rPr>
        <vertAlign val="superscript"/>
        <sz val="8"/>
        <color rgb="FF00B050"/>
        <rFont val="Verdana"/>
        <family val="2"/>
      </rPr>
      <t>(T)</t>
    </r>
  </si>
  <si>
    <r>
      <t>627.55</t>
    </r>
    <r>
      <rPr>
        <vertAlign val="superscript"/>
        <sz val="8"/>
        <color rgb="FF00B050"/>
        <rFont val="Verdana"/>
        <family val="2"/>
      </rPr>
      <t>(T)</t>
    </r>
  </si>
  <si>
    <r>
      <t>627.47</t>
    </r>
    <r>
      <rPr>
        <vertAlign val="superscript"/>
        <sz val="8"/>
        <color rgb="FF00B050"/>
        <rFont val="Verdana"/>
        <family val="2"/>
      </rPr>
      <t>(T)</t>
    </r>
  </si>
  <si>
    <r>
      <t>629.79</t>
    </r>
    <r>
      <rPr>
        <vertAlign val="superscript"/>
        <sz val="8"/>
        <color rgb="FF00B050"/>
        <rFont val="Verdana"/>
        <family val="2"/>
      </rPr>
      <t>(T)</t>
    </r>
  </si>
  <si>
    <r>
      <t>631.65</t>
    </r>
    <r>
      <rPr>
        <vertAlign val="superscript"/>
        <sz val="8"/>
        <color rgb="FF00B050"/>
        <rFont val="Verdana"/>
        <family val="2"/>
      </rPr>
      <t>(T)</t>
    </r>
  </si>
  <si>
    <r>
      <t>629.75</t>
    </r>
    <r>
      <rPr>
        <vertAlign val="superscript"/>
        <sz val="8"/>
        <color rgb="FF00B050"/>
        <rFont val="Verdana"/>
        <family val="2"/>
      </rPr>
      <t>(T)</t>
    </r>
  </si>
  <si>
    <r>
      <t>631.92</t>
    </r>
    <r>
      <rPr>
        <vertAlign val="superscript"/>
        <sz val="8"/>
        <color rgb="FF00B050"/>
        <rFont val="Verdana"/>
        <family val="2"/>
      </rPr>
      <t>(T)</t>
    </r>
  </si>
  <si>
    <r>
      <t>631.04</t>
    </r>
    <r>
      <rPr>
        <vertAlign val="superscript"/>
        <sz val="8"/>
        <color rgb="FF00B050"/>
        <rFont val="Verdana"/>
        <family val="2"/>
      </rPr>
      <t>(T)</t>
    </r>
  </si>
  <si>
    <r>
      <t>632.04</t>
    </r>
    <r>
      <rPr>
        <vertAlign val="superscript"/>
        <sz val="8"/>
        <color rgb="FF00B050"/>
        <rFont val="Verdana"/>
        <family val="2"/>
      </rPr>
      <t>(T)</t>
    </r>
  </si>
  <si>
    <r>
      <t>631.85</t>
    </r>
    <r>
      <rPr>
        <vertAlign val="superscript"/>
        <sz val="8"/>
        <color rgb="FF00B050"/>
        <rFont val="Verdana"/>
        <family val="2"/>
      </rPr>
      <t>(T)</t>
    </r>
  </si>
  <si>
    <r>
      <t>632.51</t>
    </r>
    <r>
      <rPr>
        <vertAlign val="superscript"/>
        <sz val="8"/>
        <color rgb="FF00B050"/>
        <rFont val="Verdana"/>
        <family val="2"/>
      </rPr>
      <t>(T)</t>
    </r>
  </si>
  <si>
    <r>
      <t>631.71</t>
    </r>
    <r>
      <rPr>
        <vertAlign val="superscript"/>
        <sz val="8"/>
        <color rgb="FF00B050"/>
        <rFont val="Verdana"/>
        <family val="2"/>
      </rPr>
      <t>(T)</t>
    </r>
  </si>
  <si>
    <r>
      <t>632.52</t>
    </r>
    <r>
      <rPr>
        <vertAlign val="superscript"/>
        <sz val="8"/>
        <color rgb="FF00B050"/>
        <rFont val="Verdana"/>
        <family val="2"/>
      </rPr>
      <t>(T)</t>
    </r>
  </si>
  <si>
    <r>
      <t>628.76</t>
    </r>
    <r>
      <rPr>
        <vertAlign val="superscript"/>
        <sz val="8"/>
        <color rgb="FF00B050"/>
        <rFont val="Verdana"/>
        <family val="2"/>
      </rPr>
      <t>(T)</t>
    </r>
  </si>
  <si>
    <r>
      <t>627.92</t>
    </r>
    <r>
      <rPr>
        <vertAlign val="superscript"/>
        <sz val="8"/>
        <color rgb="FF00B050"/>
        <rFont val="Verdana"/>
        <family val="2"/>
      </rPr>
      <t>(T)</t>
    </r>
  </si>
  <si>
    <r>
      <t>631.46</t>
    </r>
    <r>
      <rPr>
        <vertAlign val="superscript"/>
        <sz val="8"/>
        <color rgb="FF00B050"/>
        <rFont val="Verdana"/>
        <family val="2"/>
      </rPr>
      <t>(T)</t>
    </r>
  </si>
  <si>
    <r>
      <t>631.37</t>
    </r>
    <r>
      <rPr>
        <vertAlign val="superscript"/>
        <sz val="8"/>
        <color rgb="FF00B050"/>
        <rFont val="Verdana"/>
        <family val="2"/>
      </rPr>
      <t>(T)</t>
    </r>
  </si>
  <si>
    <r>
      <t>636.62</t>
    </r>
    <r>
      <rPr>
        <vertAlign val="superscript"/>
        <sz val="8"/>
        <color rgb="FF00B050"/>
        <rFont val="Verdana"/>
        <family val="2"/>
      </rPr>
      <t>(T)</t>
    </r>
  </si>
  <si>
    <r>
      <t>637.87</t>
    </r>
    <r>
      <rPr>
        <vertAlign val="superscript"/>
        <sz val="8"/>
        <color rgb="FF00B050"/>
        <rFont val="Verdana"/>
        <family val="2"/>
      </rPr>
      <t>(T)</t>
    </r>
  </si>
  <si>
    <r>
      <t>634.79</t>
    </r>
    <r>
      <rPr>
        <vertAlign val="superscript"/>
        <sz val="8"/>
        <color rgb="FF00B050"/>
        <rFont val="Verdana"/>
        <family val="2"/>
      </rPr>
      <t>(T)</t>
    </r>
  </si>
  <si>
    <r>
      <t>636.71</t>
    </r>
    <r>
      <rPr>
        <vertAlign val="superscript"/>
        <sz val="8"/>
        <color rgb="FF00B050"/>
        <rFont val="Verdana"/>
        <family val="2"/>
      </rPr>
      <t>(T)</t>
    </r>
  </si>
  <si>
    <r>
      <t>645.52</t>
    </r>
    <r>
      <rPr>
        <vertAlign val="superscript"/>
        <sz val="8"/>
        <color rgb="FF00B050"/>
        <rFont val="Verdana"/>
        <family val="2"/>
      </rPr>
      <t>(T)</t>
    </r>
  </si>
  <si>
    <r>
      <t>636.10</t>
    </r>
    <r>
      <rPr>
        <vertAlign val="superscript"/>
        <sz val="8"/>
        <color rgb="FF00B050"/>
        <rFont val="Verdana"/>
        <family val="2"/>
      </rPr>
      <t>(T)</t>
    </r>
  </si>
  <si>
    <r>
      <t>638.04</t>
    </r>
    <r>
      <rPr>
        <vertAlign val="superscript"/>
        <sz val="8"/>
        <color rgb="FF00B050"/>
        <rFont val="Verdana"/>
        <family val="2"/>
      </rPr>
      <t>(T)</t>
    </r>
  </si>
  <si>
    <r>
      <t>641.65</t>
    </r>
    <r>
      <rPr>
        <vertAlign val="superscript"/>
        <sz val="8"/>
        <color rgb="FF00B050"/>
        <rFont val="Verdana"/>
        <family val="2"/>
      </rPr>
      <t>(T)</t>
    </r>
  </si>
  <si>
    <r>
      <t>641.52</t>
    </r>
    <r>
      <rPr>
        <vertAlign val="superscript"/>
        <sz val="8"/>
        <color rgb="FF00B050"/>
        <rFont val="Verdana"/>
        <family val="2"/>
      </rPr>
      <t>(T)</t>
    </r>
  </si>
  <si>
    <r>
      <t>647.62</t>
    </r>
    <r>
      <rPr>
        <vertAlign val="superscript"/>
        <sz val="8"/>
        <color rgb="FF00B050"/>
        <rFont val="Verdana"/>
        <family val="2"/>
      </rPr>
      <t>(T)</t>
    </r>
  </si>
  <si>
    <r>
      <t>652.29</t>
    </r>
    <r>
      <rPr>
        <vertAlign val="superscript"/>
        <sz val="8"/>
        <color rgb="FF00B050"/>
        <rFont val="Verdana"/>
        <family val="2"/>
      </rPr>
      <t>(T)</t>
    </r>
  </si>
  <si>
    <r>
      <t>652.35</t>
    </r>
    <r>
      <rPr>
        <vertAlign val="superscript"/>
        <sz val="8"/>
        <color rgb="FF00B050"/>
        <rFont val="Verdana"/>
        <family val="2"/>
      </rPr>
      <t>(T)</t>
    </r>
  </si>
  <si>
    <r>
      <t>653.31</t>
    </r>
    <r>
      <rPr>
        <vertAlign val="superscript"/>
        <sz val="8"/>
        <color rgb="FF00B050"/>
        <rFont val="Verdana"/>
        <family val="2"/>
      </rPr>
      <t>(T)</t>
    </r>
  </si>
  <si>
    <r>
      <t>652.52</t>
    </r>
    <r>
      <rPr>
        <vertAlign val="superscript"/>
        <sz val="8"/>
        <color rgb="FF00B050"/>
        <rFont val="Verdana"/>
        <family val="2"/>
      </rPr>
      <t>(T)</t>
    </r>
  </si>
  <si>
    <r>
      <t>658.18</t>
    </r>
    <r>
      <rPr>
        <vertAlign val="superscript"/>
        <sz val="8"/>
        <color rgb="FF00B050"/>
        <rFont val="Verdana"/>
        <family val="2"/>
      </rPr>
      <t>(T)</t>
    </r>
  </si>
  <si>
    <r>
      <t>658.80</t>
    </r>
    <r>
      <rPr>
        <vertAlign val="superscript"/>
        <sz val="8"/>
        <color rgb="FF00B050"/>
        <rFont val="Verdana"/>
        <family val="2"/>
      </rPr>
      <t>(T)</t>
    </r>
  </si>
  <si>
    <r>
      <t>659.12</t>
    </r>
    <r>
      <rPr>
        <vertAlign val="superscript"/>
        <sz val="8"/>
        <color rgb="FF00B050"/>
        <rFont val="Verdana"/>
        <family val="2"/>
      </rPr>
      <t>(T)</t>
    </r>
  </si>
  <si>
    <r>
      <t>661.06</t>
    </r>
    <r>
      <rPr>
        <vertAlign val="superscript"/>
        <sz val="8"/>
        <color rgb="FF00B050"/>
        <rFont val="Verdana"/>
        <family val="2"/>
      </rPr>
      <t>(T)</t>
    </r>
  </si>
  <si>
    <r>
      <t>662.16</t>
    </r>
    <r>
      <rPr>
        <vertAlign val="superscript"/>
        <sz val="8"/>
        <color rgb="FF00B050"/>
        <rFont val="Verdana"/>
        <family val="2"/>
      </rPr>
      <t>(T)</t>
    </r>
  </si>
  <si>
    <r>
      <t>661.00</t>
    </r>
    <r>
      <rPr>
        <vertAlign val="superscript"/>
        <sz val="8"/>
        <color rgb="FF00B050"/>
        <rFont val="Verdana"/>
        <family val="2"/>
      </rPr>
      <t>(T)</t>
    </r>
  </si>
  <si>
    <r>
      <t>661.84</t>
    </r>
    <r>
      <rPr>
        <vertAlign val="superscript"/>
        <sz val="8"/>
        <color rgb="FF00B050"/>
        <rFont val="Verdana"/>
        <family val="2"/>
      </rPr>
      <t>(T)</t>
    </r>
  </si>
  <si>
    <r>
      <t>669.30</t>
    </r>
    <r>
      <rPr>
        <vertAlign val="superscript"/>
        <sz val="8"/>
        <color rgb="FF00B050"/>
        <rFont val="Verdana"/>
        <family val="2"/>
      </rPr>
      <t>(T)</t>
    </r>
  </si>
  <si>
    <r>
      <t>660.14</t>
    </r>
    <r>
      <rPr>
        <vertAlign val="superscript"/>
        <sz val="8"/>
        <color rgb="FF00B050"/>
        <rFont val="Verdana"/>
        <family val="2"/>
      </rPr>
      <t>(T)</t>
    </r>
  </si>
  <si>
    <r>
      <t>660.15</t>
    </r>
    <r>
      <rPr>
        <vertAlign val="superscript"/>
        <sz val="8"/>
        <color rgb="FF00B050"/>
        <rFont val="Verdana"/>
        <family val="2"/>
      </rPr>
      <t>(T)</t>
    </r>
  </si>
  <si>
    <r>
      <t>660.78</t>
    </r>
    <r>
      <rPr>
        <vertAlign val="superscript"/>
        <sz val="8"/>
        <color rgb="FF00B050"/>
        <rFont val="Verdana"/>
        <family val="2"/>
      </rPr>
      <t>(T)</t>
    </r>
  </si>
  <si>
    <r>
      <t>665.70</t>
    </r>
    <r>
      <rPr>
        <vertAlign val="superscript"/>
        <sz val="8"/>
        <color rgb="FF00B050"/>
        <rFont val="Verdana"/>
        <family val="2"/>
      </rPr>
      <t>(T)</t>
    </r>
  </si>
  <si>
    <r>
      <t>663.30</t>
    </r>
    <r>
      <rPr>
        <vertAlign val="superscript"/>
        <sz val="8"/>
        <color rgb="FF00B050"/>
        <rFont val="Verdana"/>
        <family val="2"/>
      </rPr>
      <t>(T)</t>
    </r>
  </si>
  <si>
    <r>
      <t>669.77</t>
    </r>
    <r>
      <rPr>
        <vertAlign val="superscript"/>
        <sz val="8"/>
        <color rgb="FF00B050"/>
        <rFont val="Verdana"/>
        <family val="2"/>
      </rPr>
      <t>(T)</t>
    </r>
  </si>
  <si>
    <r>
      <t>666.89</t>
    </r>
    <r>
      <rPr>
        <vertAlign val="superscript"/>
        <sz val="8"/>
        <color rgb="FF00B050"/>
        <rFont val="Verdana"/>
        <family val="2"/>
      </rPr>
      <t>(T)</t>
    </r>
  </si>
  <si>
    <r>
      <t>673.03</t>
    </r>
    <r>
      <rPr>
        <vertAlign val="superscript"/>
        <sz val="8"/>
        <color rgb="FF00B050"/>
        <rFont val="Verdana"/>
        <family val="2"/>
      </rPr>
      <t>(T)</t>
    </r>
  </si>
  <si>
    <r>
      <t>675.61</t>
    </r>
    <r>
      <rPr>
        <vertAlign val="superscript"/>
        <sz val="8"/>
        <color rgb="FF00B050"/>
        <rFont val="Verdana"/>
        <family val="2"/>
      </rPr>
      <t>(T)</t>
    </r>
  </si>
  <si>
    <r>
      <t>672.84</t>
    </r>
    <r>
      <rPr>
        <vertAlign val="superscript"/>
        <sz val="8"/>
        <color rgb="FF00B050"/>
        <rFont val="Verdana"/>
        <family val="2"/>
      </rPr>
      <t>(T)</t>
    </r>
  </si>
  <si>
    <r>
      <t>674.36</t>
    </r>
    <r>
      <rPr>
        <vertAlign val="superscript"/>
        <sz val="8"/>
        <color rgb="FF00B050"/>
        <rFont val="Verdana"/>
        <family val="2"/>
      </rPr>
      <t>(T)</t>
    </r>
  </si>
  <si>
    <r>
      <t>669.97</t>
    </r>
    <r>
      <rPr>
        <vertAlign val="superscript"/>
        <sz val="8"/>
        <color rgb="FF00B050"/>
        <rFont val="Verdana"/>
        <family val="2"/>
      </rPr>
      <t>(T)</t>
    </r>
  </si>
  <si>
    <r>
      <t>670.05</t>
    </r>
    <r>
      <rPr>
        <vertAlign val="superscript"/>
        <sz val="8"/>
        <color rgb="FF00B050"/>
        <rFont val="Verdana"/>
        <family val="2"/>
      </rPr>
      <t>(T)</t>
    </r>
  </si>
  <si>
    <r>
      <t>667.01</t>
    </r>
    <r>
      <rPr>
        <vertAlign val="superscript"/>
        <sz val="8"/>
        <color rgb="FF00B050"/>
        <rFont val="Verdana"/>
        <family val="2"/>
      </rPr>
      <t>(T)</t>
    </r>
  </si>
  <si>
    <r>
      <t>670.41</t>
    </r>
    <r>
      <rPr>
        <vertAlign val="superscript"/>
        <sz val="8"/>
        <color rgb="FF00B050"/>
        <rFont val="Verdana"/>
        <family val="2"/>
      </rPr>
      <t>(T)</t>
    </r>
  </si>
  <si>
    <r>
      <t>670.32</t>
    </r>
    <r>
      <rPr>
        <vertAlign val="superscript"/>
        <sz val="8"/>
        <color rgb="FF00B050"/>
        <rFont val="Verdana"/>
        <family val="2"/>
      </rPr>
      <t>(T)</t>
    </r>
  </si>
  <si>
    <r>
      <t>675.97</t>
    </r>
    <r>
      <rPr>
        <vertAlign val="superscript"/>
        <sz val="8"/>
        <color rgb="FF00B050"/>
        <rFont val="Verdana"/>
        <family val="2"/>
      </rPr>
      <t>(T)</t>
    </r>
  </si>
  <si>
    <r>
      <t>674.08</t>
    </r>
    <r>
      <rPr>
        <vertAlign val="superscript"/>
        <sz val="8"/>
        <color rgb="FF00B050"/>
        <rFont val="Verdana"/>
        <family val="2"/>
      </rPr>
      <t>(T)</t>
    </r>
  </si>
  <si>
    <r>
      <t>676.71</t>
    </r>
    <r>
      <rPr>
        <vertAlign val="superscript"/>
        <sz val="8"/>
        <color rgb="FF00B050"/>
        <rFont val="Verdana"/>
        <family val="2"/>
      </rPr>
      <t>(T)</t>
    </r>
  </si>
  <si>
    <r>
      <t>675.36</t>
    </r>
    <r>
      <rPr>
        <vertAlign val="superscript"/>
        <sz val="8"/>
        <color rgb="FF00B050"/>
        <rFont val="Verdana"/>
        <family val="2"/>
      </rPr>
      <t>(T)</t>
    </r>
  </si>
  <si>
    <r>
      <t>675.70</t>
    </r>
    <r>
      <rPr>
        <vertAlign val="superscript"/>
        <sz val="8"/>
        <color rgb="FF00B050"/>
        <rFont val="Verdana"/>
        <family val="2"/>
      </rPr>
      <t>(T)</t>
    </r>
  </si>
  <si>
    <r>
      <t>677.45</t>
    </r>
    <r>
      <rPr>
        <vertAlign val="superscript"/>
        <sz val="8"/>
        <color rgb="FF00B050"/>
        <rFont val="Verdana"/>
        <family val="2"/>
      </rPr>
      <t>(T)</t>
    </r>
  </si>
  <si>
    <r>
      <t>679.60</t>
    </r>
    <r>
      <rPr>
        <vertAlign val="superscript"/>
        <sz val="8"/>
        <color rgb="FF00B050"/>
        <rFont val="Verdana"/>
        <family val="2"/>
      </rPr>
      <t>(T)</t>
    </r>
  </si>
  <si>
    <r>
      <t>684.35</t>
    </r>
    <r>
      <rPr>
        <vertAlign val="superscript"/>
        <sz val="8"/>
        <color rgb="FF00B050"/>
        <rFont val="Verdana"/>
        <family val="2"/>
      </rPr>
      <t>(T)</t>
    </r>
  </si>
  <si>
    <r>
      <t>684.20</t>
    </r>
    <r>
      <rPr>
        <vertAlign val="superscript"/>
        <sz val="8"/>
        <color rgb="FF00B050"/>
        <rFont val="Verdana"/>
        <family val="2"/>
      </rPr>
      <t>(T)</t>
    </r>
  </si>
  <si>
    <r>
      <t>687.87</t>
    </r>
    <r>
      <rPr>
        <vertAlign val="superscript"/>
        <sz val="8"/>
        <color rgb="FF00B050"/>
        <rFont val="Verdana"/>
        <family val="2"/>
      </rPr>
      <t>(T)</t>
    </r>
  </si>
  <si>
    <r>
      <t>686.56</t>
    </r>
    <r>
      <rPr>
        <vertAlign val="superscript"/>
        <sz val="8"/>
        <color rgb="FF00B050"/>
        <rFont val="Verdana"/>
        <family val="2"/>
      </rPr>
      <t>(T)</t>
    </r>
  </si>
  <si>
    <r>
      <t>686.46</t>
    </r>
    <r>
      <rPr>
        <vertAlign val="superscript"/>
        <sz val="8"/>
        <color rgb="FF00B050"/>
        <rFont val="Verdana"/>
        <family val="2"/>
      </rPr>
      <t>(T)</t>
    </r>
  </si>
  <si>
    <r>
      <t>687.02</t>
    </r>
    <r>
      <rPr>
        <vertAlign val="superscript"/>
        <sz val="8"/>
        <color rgb="FF00B050"/>
        <rFont val="Verdana"/>
        <family val="2"/>
      </rPr>
      <t>(T)</t>
    </r>
  </si>
  <si>
    <r>
      <t>686.22</t>
    </r>
    <r>
      <rPr>
        <vertAlign val="superscript"/>
        <sz val="8"/>
        <color rgb="FF00B050"/>
        <rFont val="Verdana"/>
        <family val="2"/>
      </rPr>
      <t>(T)</t>
    </r>
  </si>
  <si>
    <r>
      <t>691.02</t>
    </r>
    <r>
      <rPr>
        <vertAlign val="superscript"/>
        <sz val="8"/>
        <color rgb="FF00B050"/>
        <rFont val="Verdana"/>
        <family val="2"/>
      </rPr>
      <t>(T)</t>
    </r>
  </si>
  <si>
    <r>
      <t>692.50</t>
    </r>
    <r>
      <rPr>
        <vertAlign val="superscript"/>
        <sz val="8"/>
        <color rgb="FF00B050"/>
        <rFont val="Verdana"/>
        <family val="2"/>
      </rPr>
      <t>(T)</t>
    </r>
  </si>
  <si>
    <r>
      <t>694.79</t>
    </r>
    <r>
      <rPr>
        <vertAlign val="superscript"/>
        <sz val="8"/>
        <color rgb="FF00B050"/>
        <rFont val="Verdana"/>
        <family val="2"/>
      </rPr>
      <t>(T)</t>
    </r>
  </si>
  <si>
    <r>
      <t>695.61</t>
    </r>
    <r>
      <rPr>
        <vertAlign val="superscript"/>
        <sz val="8"/>
        <color rgb="FF00B050"/>
        <rFont val="Verdana"/>
        <family val="2"/>
      </rPr>
      <t>(T)</t>
    </r>
  </si>
  <si>
    <r>
      <t>697.48</t>
    </r>
    <r>
      <rPr>
        <vertAlign val="superscript"/>
        <sz val="8"/>
        <color rgb="FF00B050"/>
        <rFont val="Verdana"/>
        <family val="2"/>
      </rPr>
      <t>(T)</t>
    </r>
  </si>
  <si>
    <r>
      <t>698.65</t>
    </r>
    <r>
      <rPr>
        <vertAlign val="superscript"/>
        <sz val="8"/>
        <color rgb="FF00B050"/>
        <rFont val="Verdana"/>
        <family val="2"/>
      </rPr>
      <t>(T)</t>
    </r>
  </si>
  <si>
    <r>
      <t>699.54</t>
    </r>
    <r>
      <rPr>
        <vertAlign val="superscript"/>
        <sz val="8"/>
        <color rgb="FF00B050"/>
        <rFont val="Verdana"/>
        <family val="2"/>
      </rPr>
      <t>(T)</t>
    </r>
  </si>
  <si>
    <r>
      <t>701.24</t>
    </r>
    <r>
      <rPr>
        <vertAlign val="superscript"/>
        <sz val="8"/>
        <color rgb="FF00B050"/>
        <rFont val="Verdana"/>
        <family val="2"/>
      </rPr>
      <t>(T)</t>
    </r>
  </si>
  <si>
    <r>
      <t>703.40</t>
    </r>
    <r>
      <rPr>
        <vertAlign val="superscript"/>
        <sz val="8"/>
        <color rgb="FF00B050"/>
        <rFont val="Verdana"/>
        <family val="2"/>
      </rPr>
      <t>(T)</t>
    </r>
  </si>
  <si>
    <r>
      <t>703.73</t>
    </r>
    <r>
      <rPr>
        <vertAlign val="superscript"/>
        <sz val="8"/>
        <color rgb="FF00B050"/>
        <rFont val="Verdana"/>
        <family val="2"/>
      </rPr>
      <t>(T)</t>
    </r>
  </si>
  <si>
    <r>
      <t>702.90</t>
    </r>
    <r>
      <rPr>
        <vertAlign val="superscript"/>
        <sz val="8"/>
        <color rgb="FF00B050"/>
        <rFont val="Verdana"/>
        <family val="2"/>
      </rPr>
      <t>(T)</t>
    </r>
  </si>
  <si>
    <r>
      <t>704.07</t>
    </r>
    <r>
      <rPr>
        <vertAlign val="superscript"/>
        <sz val="8"/>
        <color rgb="FF00B050"/>
        <rFont val="Verdana"/>
        <family val="2"/>
      </rPr>
      <t>(T)</t>
    </r>
  </si>
  <si>
    <r>
      <t>705.23</t>
    </r>
    <r>
      <rPr>
        <vertAlign val="superscript"/>
        <sz val="8"/>
        <color rgb="FF00B050"/>
        <rFont val="Verdana"/>
        <family val="2"/>
      </rPr>
      <t>(T)</t>
    </r>
  </si>
  <si>
    <r>
      <t>783.05</t>
    </r>
    <r>
      <rPr>
        <vertAlign val="superscript"/>
        <sz val="8"/>
        <color rgb="FF00B050"/>
        <rFont val="Verdana"/>
        <family val="2"/>
      </rPr>
      <t>(T)</t>
    </r>
  </si>
  <si>
    <r>
      <t>822.86</t>
    </r>
    <r>
      <rPr>
        <vertAlign val="superscript"/>
        <sz val="8"/>
        <color rgb="FF00B050"/>
        <rFont val="Verdana"/>
        <family val="2"/>
      </rPr>
      <t>(T)</t>
    </r>
  </si>
  <si>
    <r>
      <t>864.12</t>
    </r>
    <r>
      <rPr>
        <vertAlign val="superscript"/>
        <sz val="8"/>
        <color rgb="FF00B050"/>
        <rFont val="Verdana"/>
        <family val="2"/>
      </rPr>
      <t>(T)</t>
    </r>
  </si>
  <si>
    <r>
      <t>860.22</t>
    </r>
    <r>
      <rPr>
        <vertAlign val="superscript"/>
        <sz val="8"/>
        <color rgb="FF00B050"/>
        <rFont val="Verdana"/>
        <family val="2"/>
      </rPr>
      <t>(T)</t>
    </r>
  </si>
  <si>
    <r>
      <t>837.73</t>
    </r>
    <r>
      <rPr>
        <vertAlign val="superscript"/>
        <sz val="8"/>
        <color rgb="FF00B050"/>
        <rFont val="Verdana"/>
        <family val="2"/>
      </rPr>
      <t>(T)</t>
    </r>
  </si>
  <si>
    <r>
      <t>842.40</t>
    </r>
    <r>
      <rPr>
        <vertAlign val="superscript"/>
        <sz val="8"/>
        <color rgb="FF00B050"/>
        <rFont val="Verdana"/>
        <family val="2"/>
      </rPr>
      <t>(T)</t>
    </r>
  </si>
  <si>
    <r>
      <t>834.83</t>
    </r>
    <r>
      <rPr>
        <vertAlign val="superscript"/>
        <sz val="8"/>
        <color rgb="FF00B050"/>
        <rFont val="Verdana"/>
        <family val="2"/>
      </rPr>
      <t>(T)</t>
    </r>
  </si>
  <si>
    <r>
      <t>856.41</t>
    </r>
    <r>
      <rPr>
        <vertAlign val="superscript"/>
        <sz val="8"/>
        <color rgb="FF00B050"/>
        <rFont val="Verdana"/>
        <family val="2"/>
      </rPr>
      <t>(T)</t>
    </r>
  </si>
  <si>
    <r>
      <t>856.11</t>
    </r>
    <r>
      <rPr>
        <vertAlign val="superscript"/>
        <sz val="8"/>
        <color rgb="FF00B050"/>
        <rFont val="Verdana"/>
        <family val="2"/>
      </rPr>
      <t>(T)</t>
    </r>
  </si>
  <si>
    <r>
      <t>876.23</t>
    </r>
    <r>
      <rPr>
        <vertAlign val="superscript"/>
        <sz val="8"/>
        <color rgb="FF00B050"/>
        <rFont val="Verdana"/>
        <family val="2"/>
      </rPr>
      <t>(T)</t>
    </r>
  </si>
  <si>
    <r>
      <t>914.08</t>
    </r>
    <r>
      <rPr>
        <vertAlign val="superscript"/>
        <sz val="8"/>
        <color rgb="FF00B050"/>
        <rFont val="Verdana"/>
        <family val="2"/>
      </rPr>
      <t>(T)</t>
    </r>
  </si>
  <si>
    <r>
      <t>901.16</t>
    </r>
    <r>
      <rPr>
        <vertAlign val="superscript"/>
        <sz val="8"/>
        <color rgb="FF00B050"/>
        <rFont val="Verdana"/>
        <family val="2"/>
      </rPr>
      <t>(T)</t>
    </r>
  </si>
  <si>
    <r>
      <t>884.58</t>
    </r>
    <r>
      <rPr>
        <vertAlign val="superscript"/>
        <sz val="8"/>
        <color rgb="FF00B050"/>
        <rFont val="Verdana"/>
        <family val="2"/>
      </rPr>
      <t>(T)</t>
    </r>
  </si>
  <si>
    <r>
      <t>884.66</t>
    </r>
    <r>
      <rPr>
        <vertAlign val="superscript"/>
        <sz val="8"/>
        <color rgb="FF00B050"/>
        <rFont val="Verdana"/>
        <family val="2"/>
      </rPr>
      <t>(T)</t>
    </r>
  </si>
  <si>
    <r>
      <t>887.55</t>
    </r>
    <r>
      <rPr>
        <vertAlign val="superscript"/>
        <sz val="8"/>
        <color rgb="FF00B050"/>
        <rFont val="Verdana"/>
        <family val="2"/>
      </rPr>
      <t>(T)</t>
    </r>
  </si>
  <si>
    <r>
      <t>904.94</t>
    </r>
    <r>
      <rPr>
        <vertAlign val="superscript"/>
        <sz val="8"/>
        <color rgb="FF00B050"/>
        <rFont val="Verdana"/>
        <family val="2"/>
      </rPr>
      <t>(T)</t>
    </r>
  </si>
  <si>
    <r>
      <t>895.68</t>
    </r>
    <r>
      <rPr>
        <vertAlign val="superscript"/>
        <sz val="8"/>
        <color rgb="FF00B050"/>
        <rFont val="Verdana"/>
        <family val="2"/>
      </rPr>
      <t>(T)</t>
    </r>
  </si>
  <si>
    <r>
      <t>880.16</t>
    </r>
    <r>
      <rPr>
        <vertAlign val="superscript"/>
        <sz val="8"/>
        <color rgb="FF00B050"/>
        <rFont val="Verdana"/>
        <family val="2"/>
      </rPr>
      <t>(T)</t>
    </r>
  </si>
  <si>
    <r>
      <t>878.41</t>
    </r>
    <r>
      <rPr>
        <vertAlign val="superscript"/>
        <sz val="8"/>
        <color rgb="FF00B050"/>
        <rFont val="Verdana"/>
        <family val="2"/>
      </rPr>
      <t>(T)</t>
    </r>
  </si>
  <si>
    <r>
      <t>878.32</t>
    </r>
    <r>
      <rPr>
        <vertAlign val="superscript"/>
        <sz val="8"/>
        <color rgb="FF00B050"/>
        <rFont val="Verdana"/>
        <family val="2"/>
      </rPr>
      <t>(T)</t>
    </r>
  </si>
  <si>
    <r>
      <t>905.61</t>
    </r>
    <r>
      <rPr>
        <vertAlign val="superscript"/>
        <sz val="8"/>
        <color rgb="FF00B050"/>
        <rFont val="Verdana"/>
        <family val="2"/>
      </rPr>
      <t>(T)</t>
    </r>
  </si>
  <si>
    <r>
      <t>904.58</t>
    </r>
    <r>
      <rPr>
        <vertAlign val="superscript"/>
        <sz val="8"/>
        <color rgb="FF00B050"/>
        <rFont val="Verdana"/>
        <family val="2"/>
      </rPr>
      <t>(T)</t>
    </r>
  </si>
  <si>
    <r>
      <t>910.54</t>
    </r>
    <r>
      <rPr>
        <vertAlign val="superscript"/>
        <sz val="8"/>
        <color rgb="FF00B050"/>
        <rFont val="Verdana"/>
        <family val="2"/>
      </rPr>
      <t>(T)</t>
    </r>
  </si>
  <si>
    <r>
      <t>895.45</t>
    </r>
    <r>
      <rPr>
        <vertAlign val="superscript"/>
        <sz val="8"/>
        <color rgb="FF00B050"/>
        <rFont val="Verdana"/>
        <family val="2"/>
      </rPr>
      <t>(T)</t>
    </r>
  </si>
  <si>
    <r>
      <t>897.15</t>
    </r>
    <r>
      <rPr>
        <vertAlign val="superscript"/>
        <sz val="8"/>
        <color rgb="FF00B050"/>
        <rFont val="Verdana"/>
        <family val="2"/>
      </rPr>
      <t>(T)</t>
    </r>
  </si>
  <si>
    <r>
      <t>884.48</t>
    </r>
    <r>
      <rPr>
        <vertAlign val="superscript"/>
        <sz val="8"/>
        <color rgb="FF00B050"/>
        <rFont val="Verdana"/>
        <family val="2"/>
      </rPr>
      <t>(T)</t>
    </r>
  </si>
  <si>
    <r>
      <t>884.07</t>
    </r>
    <r>
      <rPr>
        <vertAlign val="superscript"/>
        <sz val="8"/>
        <color rgb="FF00B050"/>
        <rFont val="Verdana"/>
        <family val="2"/>
      </rPr>
      <t>(T)</t>
    </r>
  </si>
  <si>
    <r>
      <t>907.93</t>
    </r>
    <r>
      <rPr>
        <vertAlign val="superscript"/>
        <sz val="8"/>
        <color rgb="FF00B050"/>
        <rFont val="Verdana"/>
        <family val="2"/>
      </rPr>
      <t>(T)</t>
    </r>
  </si>
  <si>
    <r>
      <t>890.34</t>
    </r>
    <r>
      <rPr>
        <vertAlign val="superscript"/>
        <sz val="8"/>
        <color rgb="FF00B050"/>
        <rFont val="Verdana"/>
        <family val="2"/>
      </rPr>
      <t>(T)</t>
    </r>
  </si>
  <si>
    <r>
      <t>895.79</t>
    </r>
    <r>
      <rPr>
        <vertAlign val="superscript"/>
        <sz val="8"/>
        <color rgb="FF00B050"/>
        <rFont val="Verdana"/>
        <family val="2"/>
      </rPr>
      <t>(T)</t>
    </r>
  </si>
  <si>
    <r>
      <t>886.23</t>
    </r>
    <r>
      <rPr>
        <vertAlign val="superscript"/>
        <sz val="8"/>
        <color rgb="FF00B050"/>
        <rFont val="Verdana"/>
        <family val="2"/>
      </rPr>
      <t>(T)</t>
    </r>
  </si>
  <si>
    <r>
      <t>890.46</t>
    </r>
    <r>
      <rPr>
        <vertAlign val="superscript"/>
        <sz val="8"/>
        <color rgb="FF00B050"/>
        <rFont val="Verdana"/>
        <family val="2"/>
      </rPr>
      <t>(T)</t>
    </r>
  </si>
  <si>
    <r>
      <t>906.11</t>
    </r>
    <r>
      <rPr>
        <vertAlign val="superscript"/>
        <sz val="8"/>
        <color rgb="FF00B050"/>
        <rFont val="Verdana"/>
        <family val="2"/>
      </rPr>
      <t>(T)</t>
    </r>
  </si>
  <si>
    <r>
      <t>913.13</t>
    </r>
    <r>
      <rPr>
        <vertAlign val="superscript"/>
        <sz val="8"/>
        <color rgb="FF00B050"/>
        <rFont val="Verdana"/>
        <family val="2"/>
      </rPr>
      <t>(T)</t>
    </r>
  </si>
  <si>
    <r>
      <t>912.85</t>
    </r>
    <r>
      <rPr>
        <vertAlign val="superscript"/>
        <sz val="8"/>
        <color rgb="FF00B050"/>
        <rFont val="Verdana"/>
        <family val="2"/>
      </rPr>
      <t>(T)</t>
    </r>
  </si>
  <si>
    <r>
      <t>887.11</t>
    </r>
    <r>
      <rPr>
        <vertAlign val="superscript"/>
        <sz val="8"/>
        <color rgb="FF00B050"/>
        <rFont val="Verdana"/>
        <family val="2"/>
      </rPr>
      <t>(T)</t>
    </r>
  </si>
  <si>
    <r>
      <t>915.33</t>
    </r>
    <r>
      <rPr>
        <vertAlign val="superscript"/>
        <sz val="8"/>
        <color rgb="FF00B050"/>
        <rFont val="Verdana"/>
        <family val="2"/>
      </rPr>
      <t>(T)</t>
    </r>
  </si>
  <si>
    <r>
      <t>915.32</t>
    </r>
    <r>
      <rPr>
        <vertAlign val="superscript"/>
        <sz val="8"/>
        <color rgb="FF00B050"/>
        <rFont val="Verdana"/>
        <family val="2"/>
      </rPr>
      <t>(T)</t>
    </r>
  </si>
  <si>
    <r>
      <t>907.78</t>
    </r>
    <r>
      <rPr>
        <vertAlign val="superscript"/>
        <sz val="8"/>
        <color rgb="FF00B050"/>
        <rFont val="Verdana"/>
        <family val="2"/>
      </rPr>
      <t>(T)</t>
    </r>
  </si>
  <si>
    <r>
      <t>924.75</t>
    </r>
    <r>
      <rPr>
        <vertAlign val="superscript"/>
        <sz val="8"/>
        <color rgb="FF00B050"/>
        <rFont val="Verdana"/>
        <family val="2"/>
      </rPr>
      <t>(T)</t>
    </r>
  </si>
  <si>
    <r>
      <t>921.67</t>
    </r>
    <r>
      <rPr>
        <vertAlign val="superscript"/>
        <sz val="8"/>
        <color rgb="FF00B050"/>
        <rFont val="Verdana"/>
        <family val="2"/>
      </rPr>
      <t>(T)</t>
    </r>
  </si>
  <si>
    <r>
      <t>922.05</t>
    </r>
    <r>
      <rPr>
        <vertAlign val="superscript"/>
        <sz val="8"/>
        <color rgb="FF00B050"/>
        <rFont val="Verdana"/>
        <family val="2"/>
      </rPr>
      <t>(T)</t>
    </r>
  </si>
  <si>
    <r>
      <t>919.44</t>
    </r>
    <r>
      <rPr>
        <vertAlign val="superscript"/>
        <sz val="8"/>
        <color rgb="FF00B050"/>
        <rFont val="Verdana"/>
        <family val="2"/>
      </rPr>
      <t>(T)</t>
    </r>
  </si>
  <si>
    <r>
      <t>920.64</t>
    </r>
    <r>
      <rPr>
        <vertAlign val="superscript"/>
        <sz val="8"/>
        <color rgb="FF00B050"/>
        <rFont val="Verdana"/>
        <family val="2"/>
      </rPr>
      <t>(T)</t>
    </r>
  </si>
  <si>
    <r>
      <t>924.74</t>
    </r>
    <r>
      <rPr>
        <vertAlign val="superscript"/>
        <sz val="8"/>
        <color rgb="FF00B050"/>
        <rFont val="Verdana"/>
        <family val="2"/>
      </rPr>
      <t>(T)</t>
    </r>
  </si>
  <si>
    <r>
      <t>932.30</t>
    </r>
    <r>
      <rPr>
        <vertAlign val="superscript"/>
        <sz val="8"/>
        <color rgb="FF00B050"/>
        <rFont val="Verdana"/>
        <family val="2"/>
      </rPr>
      <t>(T)</t>
    </r>
  </si>
  <si>
    <r>
      <t>945.21</t>
    </r>
    <r>
      <rPr>
        <vertAlign val="superscript"/>
        <sz val="8"/>
        <color rgb="FF00B050"/>
        <rFont val="Verdana"/>
        <family val="2"/>
      </rPr>
      <t>(T)</t>
    </r>
  </si>
  <si>
    <r>
      <t>909.36</t>
    </r>
    <r>
      <rPr>
        <vertAlign val="superscript"/>
        <sz val="8"/>
        <color rgb="FF00B050"/>
        <rFont val="Verdana"/>
        <family val="2"/>
      </rPr>
      <t>(T)</t>
    </r>
  </si>
  <si>
    <r>
      <t>912.21</t>
    </r>
    <r>
      <rPr>
        <vertAlign val="superscript"/>
        <sz val="8"/>
        <color rgb="FF00B050"/>
        <rFont val="Verdana"/>
        <family val="2"/>
      </rPr>
      <t>(T)</t>
    </r>
  </si>
  <si>
    <r>
      <t>927.58</t>
    </r>
    <r>
      <rPr>
        <vertAlign val="superscript"/>
        <sz val="8"/>
        <color rgb="FF00B050"/>
        <rFont val="Verdana"/>
        <family val="2"/>
      </rPr>
      <t>(T)</t>
    </r>
  </si>
  <si>
    <r>
      <t>927.85</t>
    </r>
    <r>
      <rPr>
        <vertAlign val="superscript"/>
        <sz val="8"/>
        <color rgb="FF00B050"/>
        <rFont val="Verdana"/>
        <family val="2"/>
      </rPr>
      <t>(T)</t>
    </r>
  </si>
  <si>
    <r>
      <t>935.23</t>
    </r>
    <r>
      <rPr>
        <vertAlign val="superscript"/>
        <sz val="8"/>
        <color rgb="FF00B050"/>
        <rFont val="Verdana"/>
        <family val="2"/>
      </rPr>
      <t>(T)</t>
    </r>
  </si>
  <si>
    <r>
      <t>938.58</t>
    </r>
    <r>
      <rPr>
        <vertAlign val="superscript"/>
        <sz val="8"/>
        <color rgb="FF00B050"/>
        <rFont val="Verdana"/>
        <family val="2"/>
      </rPr>
      <t>(T)</t>
    </r>
  </si>
  <si>
    <r>
      <t>942.74</t>
    </r>
    <r>
      <rPr>
        <vertAlign val="superscript"/>
        <sz val="8"/>
        <color rgb="FF00B050"/>
        <rFont val="Verdana"/>
        <family val="2"/>
      </rPr>
      <t>(T)</t>
    </r>
  </si>
  <si>
    <r>
      <t>936.41</t>
    </r>
    <r>
      <rPr>
        <vertAlign val="superscript"/>
        <sz val="8"/>
        <color rgb="FF00B050"/>
        <rFont val="Verdana"/>
        <family val="2"/>
      </rPr>
      <t>(T)</t>
    </r>
  </si>
  <si>
    <r>
      <t>930.31</t>
    </r>
    <r>
      <rPr>
        <vertAlign val="superscript"/>
        <sz val="8"/>
        <color rgb="FF00B050"/>
        <rFont val="Verdana"/>
        <family val="2"/>
      </rPr>
      <t>(T)</t>
    </r>
  </si>
  <si>
    <r>
      <t>940.20</t>
    </r>
    <r>
      <rPr>
        <vertAlign val="superscript"/>
        <sz val="8"/>
        <color rgb="FF00B050"/>
        <rFont val="Verdana"/>
        <family val="2"/>
      </rPr>
      <t>(T)</t>
    </r>
  </si>
  <si>
    <r>
      <t>955.56</t>
    </r>
    <r>
      <rPr>
        <vertAlign val="superscript"/>
        <sz val="8"/>
        <color rgb="FF00B050"/>
        <rFont val="Verdana"/>
        <family val="2"/>
      </rPr>
      <t>(T)</t>
    </r>
  </si>
  <si>
    <r>
      <t>959.10</t>
    </r>
    <r>
      <rPr>
        <vertAlign val="superscript"/>
        <sz val="8"/>
        <color rgb="FF00B050"/>
        <rFont val="Verdana"/>
        <family val="2"/>
      </rPr>
      <t>(T)</t>
    </r>
  </si>
  <si>
    <r>
      <t>934.63</t>
    </r>
    <r>
      <rPr>
        <vertAlign val="superscript"/>
        <sz val="8"/>
        <color rgb="FF00B050"/>
        <rFont val="Verdana"/>
        <family val="2"/>
      </rPr>
      <t>(T)</t>
    </r>
  </si>
  <si>
    <r>
      <t>919.03</t>
    </r>
    <r>
      <rPr>
        <vertAlign val="superscript"/>
        <sz val="8"/>
        <color rgb="FF00B050"/>
        <rFont val="Verdana"/>
        <family val="2"/>
      </rPr>
      <t>(T)</t>
    </r>
  </si>
  <si>
    <r>
      <t>927.40</t>
    </r>
    <r>
      <rPr>
        <vertAlign val="superscript"/>
        <sz val="8"/>
        <color rgb="FF00B050"/>
        <rFont val="Verdana"/>
        <family val="2"/>
      </rPr>
      <t>(T)</t>
    </r>
  </si>
  <si>
    <r>
      <t>931.97</t>
    </r>
    <r>
      <rPr>
        <vertAlign val="superscript"/>
        <sz val="8"/>
        <color rgb="FF00B050"/>
        <rFont val="Verdana"/>
        <family val="2"/>
      </rPr>
      <t>(T)</t>
    </r>
  </si>
  <si>
    <r>
      <t>940.06</t>
    </r>
    <r>
      <rPr>
        <vertAlign val="superscript"/>
        <sz val="8"/>
        <color rgb="FF00B050"/>
        <rFont val="Verdana"/>
        <family val="2"/>
      </rPr>
      <t>(T)</t>
    </r>
  </si>
  <si>
    <r>
      <t>931.98</t>
    </r>
    <r>
      <rPr>
        <vertAlign val="superscript"/>
        <sz val="8"/>
        <color rgb="FF00B050"/>
        <rFont val="Verdana"/>
        <family val="2"/>
      </rPr>
      <t>(T)</t>
    </r>
  </si>
  <si>
    <r>
      <t>934.57</t>
    </r>
    <r>
      <rPr>
        <vertAlign val="superscript"/>
        <sz val="8"/>
        <color rgb="FF00B050"/>
        <rFont val="Verdana"/>
        <family val="2"/>
      </rPr>
      <t>(T)</t>
    </r>
  </si>
  <si>
    <r>
      <t>935.04</t>
    </r>
    <r>
      <rPr>
        <vertAlign val="superscript"/>
        <sz val="8"/>
        <color rgb="FF00B050"/>
        <rFont val="Verdana"/>
        <family val="2"/>
      </rPr>
      <t>(T)</t>
    </r>
  </si>
  <si>
    <r>
      <t>935.02</t>
    </r>
    <r>
      <rPr>
        <vertAlign val="superscript"/>
        <sz val="8"/>
        <color rgb="FF00B050"/>
        <rFont val="Verdana"/>
        <family val="2"/>
      </rPr>
      <t>(T)</t>
    </r>
  </si>
  <si>
    <r>
      <t>950.50</t>
    </r>
    <r>
      <rPr>
        <vertAlign val="superscript"/>
        <sz val="8"/>
        <color rgb="FF00B050"/>
        <rFont val="Verdana"/>
        <family val="2"/>
      </rPr>
      <t>(T)</t>
    </r>
  </si>
  <si>
    <r>
      <t>958.25</t>
    </r>
    <r>
      <rPr>
        <vertAlign val="superscript"/>
        <sz val="8"/>
        <color rgb="FF00B050"/>
        <rFont val="Verdana"/>
        <family val="2"/>
      </rPr>
      <t>(T)</t>
    </r>
  </si>
  <si>
    <r>
      <t>970.73</t>
    </r>
    <r>
      <rPr>
        <vertAlign val="superscript"/>
        <sz val="8"/>
        <color rgb="FF00B050"/>
        <rFont val="Verdana"/>
        <family val="2"/>
      </rPr>
      <t>(T)</t>
    </r>
  </si>
  <si>
    <r>
      <t>942.46</t>
    </r>
    <r>
      <rPr>
        <vertAlign val="superscript"/>
        <sz val="8"/>
        <color rgb="FF00B050"/>
        <rFont val="Verdana"/>
        <family val="2"/>
      </rPr>
      <t>(T)</t>
    </r>
  </si>
  <si>
    <r>
      <t>967.08</t>
    </r>
    <r>
      <rPr>
        <vertAlign val="superscript"/>
        <sz val="8"/>
        <color rgb="FF00B050"/>
        <rFont val="Verdana"/>
        <family val="2"/>
      </rPr>
      <t>(T)</t>
    </r>
  </si>
  <si>
    <r>
      <t>969.07</t>
    </r>
    <r>
      <rPr>
        <vertAlign val="superscript"/>
        <sz val="8"/>
        <color rgb="FF00B050"/>
        <rFont val="Verdana"/>
        <family val="2"/>
      </rPr>
      <t>(T)</t>
    </r>
  </si>
  <si>
    <r>
      <t>959.15</t>
    </r>
    <r>
      <rPr>
        <vertAlign val="superscript"/>
        <sz val="8"/>
        <color rgb="FF00B050"/>
        <rFont val="Verdana"/>
        <family val="2"/>
      </rPr>
      <t>(T)</t>
    </r>
  </si>
  <si>
    <r>
      <t>993.29</t>
    </r>
    <r>
      <rPr>
        <vertAlign val="superscript"/>
        <sz val="8"/>
        <color rgb="FF00B050"/>
        <rFont val="Verdana"/>
        <family val="2"/>
      </rPr>
      <t>(T)</t>
    </r>
  </si>
  <si>
    <r>
      <t>999.42</t>
    </r>
    <r>
      <rPr>
        <vertAlign val="superscript"/>
        <sz val="8"/>
        <color rgb="FF00B050"/>
        <rFont val="Verdana"/>
        <family val="2"/>
      </rPr>
      <t>(T)</t>
    </r>
  </si>
  <si>
    <r>
      <t>998.34</t>
    </r>
    <r>
      <rPr>
        <vertAlign val="superscript"/>
        <sz val="8"/>
        <color rgb="FF00B050"/>
        <rFont val="Verdana"/>
        <family val="2"/>
      </rPr>
      <t>(T)</t>
    </r>
  </si>
  <si>
    <r>
      <t>969.94</t>
    </r>
    <r>
      <rPr>
        <vertAlign val="superscript"/>
        <sz val="8"/>
        <color rgb="FF00B050"/>
        <rFont val="Verdana"/>
        <family val="2"/>
      </rPr>
      <t>(T)</t>
    </r>
  </si>
  <si>
    <r>
      <t>974.01</t>
    </r>
    <r>
      <rPr>
        <vertAlign val="superscript"/>
        <sz val="8"/>
        <color rgb="FF00B050"/>
        <rFont val="Verdana"/>
        <family val="2"/>
      </rPr>
      <t>(T)</t>
    </r>
  </si>
  <si>
    <r>
      <t>991.88</t>
    </r>
    <r>
      <rPr>
        <vertAlign val="superscript"/>
        <sz val="8"/>
        <color rgb="FF00B050"/>
        <rFont val="Verdana"/>
        <family val="2"/>
      </rPr>
      <t>(T)</t>
    </r>
  </si>
  <si>
    <r>
      <t>1,025.73</t>
    </r>
    <r>
      <rPr>
        <vertAlign val="superscript"/>
        <sz val="8"/>
        <color rgb="FF00B050"/>
        <rFont val="Verdana"/>
        <family val="2"/>
      </rPr>
      <t>(T)</t>
    </r>
  </si>
  <si>
    <r>
      <t>1,016.63</t>
    </r>
    <r>
      <rPr>
        <vertAlign val="superscript"/>
        <sz val="8"/>
        <color rgb="FF00B050"/>
        <rFont val="Verdana"/>
        <family val="2"/>
      </rPr>
      <t>(T)</t>
    </r>
  </si>
  <si>
    <r>
      <t>989.92</t>
    </r>
    <r>
      <rPr>
        <vertAlign val="superscript"/>
        <sz val="8"/>
        <color rgb="FF00B050"/>
        <rFont val="Verdana"/>
        <family val="2"/>
      </rPr>
      <t>(T)</t>
    </r>
  </si>
  <si>
    <r>
      <t>1,064.65</t>
    </r>
    <r>
      <rPr>
        <vertAlign val="superscript"/>
        <sz val="8"/>
        <color rgb="FF00B050"/>
        <rFont val="Verdana"/>
        <family val="2"/>
      </rPr>
      <t>(T)</t>
    </r>
  </si>
  <si>
    <r>
      <t>1,011.82</t>
    </r>
    <r>
      <rPr>
        <vertAlign val="superscript"/>
        <sz val="8"/>
        <color rgb="FF00B050"/>
        <rFont val="Verdana"/>
        <family val="2"/>
      </rPr>
      <t>(T)</t>
    </r>
  </si>
  <si>
    <r>
      <t>1,007.16</t>
    </r>
    <r>
      <rPr>
        <vertAlign val="superscript"/>
        <sz val="8"/>
        <color rgb="FF00B050"/>
        <rFont val="Verdana"/>
        <family val="2"/>
      </rPr>
      <t>(T)</t>
    </r>
  </si>
  <si>
    <r>
      <t>1,011.04</t>
    </r>
    <r>
      <rPr>
        <vertAlign val="superscript"/>
        <sz val="8"/>
        <color rgb="FF00B050"/>
        <rFont val="Verdana"/>
        <family val="2"/>
      </rPr>
      <t>(T)</t>
    </r>
  </si>
  <si>
    <r>
      <t>1,013.18</t>
    </r>
    <r>
      <rPr>
        <vertAlign val="superscript"/>
        <sz val="8"/>
        <color rgb="FF00B050"/>
        <rFont val="Verdana"/>
        <family val="2"/>
      </rPr>
      <t>(T)</t>
    </r>
  </si>
  <si>
    <r>
      <t>1,031.88</t>
    </r>
    <r>
      <rPr>
        <vertAlign val="superscript"/>
        <sz val="8"/>
        <color rgb="FF00B050"/>
        <rFont val="Verdana"/>
        <family val="2"/>
      </rPr>
      <t>(T)</t>
    </r>
  </si>
  <si>
    <r>
      <t>1,041.62</t>
    </r>
    <r>
      <rPr>
        <vertAlign val="superscript"/>
        <sz val="8"/>
        <color rgb="FF00B050"/>
        <rFont val="Verdana"/>
        <family val="2"/>
      </rPr>
      <t>(T)</t>
    </r>
  </si>
  <si>
    <r>
      <t>1,039.00</t>
    </r>
    <r>
      <rPr>
        <vertAlign val="superscript"/>
        <sz val="8"/>
        <color rgb="FF00B050"/>
        <rFont val="Verdana"/>
        <family val="2"/>
      </rPr>
      <t>(T)</t>
    </r>
  </si>
  <si>
    <r>
      <t>1,039.92</t>
    </r>
    <r>
      <rPr>
        <vertAlign val="superscript"/>
        <sz val="8"/>
        <color rgb="FF00B050"/>
        <rFont val="Verdana"/>
        <family val="2"/>
      </rPr>
      <t>(T)</t>
    </r>
  </si>
  <si>
    <r>
      <t>1,044.75</t>
    </r>
    <r>
      <rPr>
        <vertAlign val="superscript"/>
        <sz val="8"/>
        <color rgb="FF00B050"/>
        <rFont val="Verdana"/>
        <family val="2"/>
      </rPr>
      <t>(T)</t>
    </r>
  </si>
  <si>
    <r>
      <t>1,044.54</t>
    </r>
    <r>
      <rPr>
        <vertAlign val="superscript"/>
        <sz val="8"/>
        <color rgb="FF00B050"/>
        <rFont val="Verdana"/>
        <family val="2"/>
      </rPr>
      <t>(T)</t>
    </r>
  </si>
  <si>
    <r>
      <t>1,049.20</t>
    </r>
    <r>
      <rPr>
        <vertAlign val="superscript"/>
        <sz val="8"/>
        <color rgb="FF00B050"/>
        <rFont val="Verdana"/>
        <family val="2"/>
      </rPr>
      <t>(T)</t>
    </r>
  </si>
  <si>
    <r>
      <t>1,043.23</t>
    </r>
    <r>
      <rPr>
        <vertAlign val="superscript"/>
        <sz val="8"/>
        <color rgb="FF00B050"/>
        <rFont val="Verdana"/>
        <family val="2"/>
      </rPr>
      <t>(T)</t>
    </r>
  </si>
  <si>
    <r>
      <t>1,039.50</t>
    </r>
    <r>
      <rPr>
        <vertAlign val="superscript"/>
        <sz val="8"/>
        <color rgb="FF00B050"/>
        <rFont val="Verdana"/>
        <family val="2"/>
      </rPr>
      <t>(T)</t>
    </r>
  </si>
  <si>
    <r>
      <t>1,042.05</t>
    </r>
    <r>
      <rPr>
        <vertAlign val="superscript"/>
        <sz val="8"/>
        <color rgb="FF00B050"/>
        <rFont val="Verdana"/>
        <family val="2"/>
      </rPr>
      <t>(T)</t>
    </r>
  </si>
  <si>
    <r>
      <t>1,062.64</t>
    </r>
    <r>
      <rPr>
        <vertAlign val="superscript"/>
        <sz val="8"/>
        <color rgb="FF00B050"/>
        <rFont val="Verdana"/>
        <family val="2"/>
      </rPr>
      <t>(T)</t>
    </r>
  </si>
  <si>
    <r>
      <t>1,054.36</t>
    </r>
    <r>
      <rPr>
        <vertAlign val="superscript"/>
        <sz val="8"/>
        <color rgb="FF00B050"/>
        <rFont val="Verdana"/>
        <family val="2"/>
      </rPr>
      <t>(T)</t>
    </r>
  </si>
  <si>
    <r>
      <t>1,023.22</t>
    </r>
    <r>
      <rPr>
        <vertAlign val="superscript"/>
        <sz val="8"/>
        <color rgb="FF00B050"/>
        <rFont val="Verdana"/>
        <family val="2"/>
      </rPr>
      <t>(T)</t>
    </r>
  </si>
  <si>
    <r>
      <t>1,049.26</t>
    </r>
    <r>
      <rPr>
        <vertAlign val="superscript"/>
        <sz val="8"/>
        <color rgb="FF00B050"/>
        <rFont val="Verdana"/>
        <family val="2"/>
      </rPr>
      <t>(T)</t>
    </r>
  </si>
  <si>
    <r>
      <t>1,053.32</t>
    </r>
    <r>
      <rPr>
        <vertAlign val="superscript"/>
        <sz val="8"/>
        <color rgb="FF00B050"/>
        <rFont val="Verdana"/>
        <family val="2"/>
      </rPr>
      <t>(T)</t>
    </r>
  </si>
  <si>
    <r>
      <t>1,050.77</t>
    </r>
    <r>
      <rPr>
        <vertAlign val="superscript"/>
        <sz val="8"/>
        <color rgb="FF00B050"/>
        <rFont val="Verdana"/>
        <family val="2"/>
      </rPr>
      <t>(T)</t>
    </r>
  </si>
  <si>
    <r>
      <t>1,057.80</t>
    </r>
    <r>
      <rPr>
        <vertAlign val="superscript"/>
        <sz val="8"/>
        <color rgb="FF00B050"/>
        <rFont val="Verdana"/>
        <family val="2"/>
      </rPr>
      <t>(T)</t>
    </r>
  </si>
  <si>
    <r>
      <t>1,060.68</t>
    </r>
    <r>
      <rPr>
        <vertAlign val="superscript"/>
        <sz val="8"/>
        <color rgb="FF00B050"/>
        <rFont val="Verdana"/>
        <family val="2"/>
      </rPr>
      <t>(T)</t>
    </r>
  </si>
  <si>
    <r>
      <t>1,064.49</t>
    </r>
    <r>
      <rPr>
        <vertAlign val="superscript"/>
        <sz val="8"/>
        <color rgb="FF00B050"/>
        <rFont val="Verdana"/>
        <family val="2"/>
      </rPr>
      <t>(T)</t>
    </r>
  </si>
  <si>
    <r>
      <t>1,064.39</t>
    </r>
    <r>
      <rPr>
        <vertAlign val="superscript"/>
        <sz val="8"/>
        <color rgb="FF00B050"/>
        <rFont val="Verdana"/>
        <family val="2"/>
      </rPr>
      <t>(T)</t>
    </r>
  </si>
  <si>
    <r>
      <t>1,069.17</t>
    </r>
    <r>
      <rPr>
        <vertAlign val="superscript"/>
        <sz val="8"/>
        <color rgb="FF00B050"/>
        <rFont val="Verdana"/>
        <family val="2"/>
      </rPr>
      <t>(T)</t>
    </r>
  </si>
  <si>
    <r>
      <t>1,067.63</t>
    </r>
    <r>
      <rPr>
        <vertAlign val="superscript"/>
        <sz val="8"/>
        <color rgb="FF00B050"/>
        <rFont val="Verdana"/>
        <family val="2"/>
      </rPr>
      <t>(T)</t>
    </r>
  </si>
  <si>
    <r>
      <t>1,065.73</t>
    </r>
    <r>
      <rPr>
        <vertAlign val="superscript"/>
        <sz val="8"/>
        <color rgb="FF00B050"/>
        <rFont val="Verdana"/>
        <family val="2"/>
      </rPr>
      <t>(T)</t>
    </r>
  </si>
  <si>
    <r>
      <t>1,064.43</t>
    </r>
    <r>
      <rPr>
        <vertAlign val="superscript"/>
        <sz val="8"/>
        <color rgb="FF00B050"/>
        <rFont val="Verdana"/>
        <family val="2"/>
      </rPr>
      <t>(T)</t>
    </r>
  </si>
  <si>
    <r>
      <t>1,064.89</t>
    </r>
    <r>
      <rPr>
        <vertAlign val="superscript"/>
        <sz val="8"/>
        <color rgb="FF00B050"/>
        <rFont val="Verdana"/>
        <family val="2"/>
      </rPr>
      <t>(T)</t>
    </r>
  </si>
  <si>
    <r>
      <t>1,067.55</t>
    </r>
    <r>
      <rPr>
        <vertAlign val="superscript"/>
        <sz val="8"/>
        <color rgb="FF00B050"/>
        <rFont val="Verdana"/>
        <family val="2"/>
      </rPr>
      <t>(T)</t>
    </r>
  </si>
  <si>
    <r>
      <t>1,067.93</t>
    </r>
    <r>
      <rPr>
        <vertAlign val="superscript"/>
        <sz val="8"/>
        <color rgb="FF00B050"/>
        <rFont val="Verdana"/>
        <family val="2"/>
      </rPr>
      <t>(T)</t>
    </r>
  </si>
  <si>
    <r>
      <t>1,069.10</t>
    </r>
    <r>
      <rPr>
        <vertAlign val="superscript"/>
        <sz val="8"/>
        <color rgb="FF00B050"/>
        <rFont val="Verdana"/>
        <family val="2"/>
      </rPr>
      <t>(T)</t>
    </r>
  </si>
  <si>
    <r>
      <t>1,071.52</t>
    </r>
    <r>
      <rPr>
        <vertAlign val="superscript"/>
        <sz val="8"/>
        <color rgb="FF00B050"/>
        <rFont val="Verdana"/>
        <family val="2"/>
      </rPr>
      <t>(T)</t>
    </r>
  </si>
  <si>
    <r>
      <t>1,070.48</t>
    </r>
    <r>
      <rPr>
        <vertAlign val="superscript"/>
        <sz val="8"/>
        <color rgb="FF00B050"/>
        <rFont val="Verdana"/>
        <family val="2"/>
      </rPr>
      <t>(T)</t>
    </r>
  </si>
  <si>
    <r>
      <t>1,072.96</t>
    </r>
    <r>
      <rPr>
        <vertAlign val="superscript"/>
        <sz val="8"/>
        <color rgb="FF00B050"/>
        <rFont val="Verdana"/>
        <family val="2"/>
      </rPr>
      <t>(T)</t>
    </r>
  </si>
  <si>
    <t>Basic model logic:</t>
  </si>
  <si>
    <r>
      <t xml:space="preserve">Note: </t>
    </r>
    <r>
      <rPr>
        <sz val="11"/>
        <rFont val="Book Antiqua"/>
        <family val="1"/>
      </rPr>
      <t xml:space="preserve">This workbook is colour coded as follows: (i) </t>
    </r>
    <r>
      <rPr>
        <sz val="11"/>
        <color rgb="FFFF0000"/>
        <rFont val="Book Antiqua"/>
        <family val="1"/>
      </rPr>
      <t>red for OPG data</t>
    </r>
    <r>
      <rPr>
        <sz val="11"/>
        <rFont val="Book Antiqua"/>
        <family val="1"/>
      </rPr>
      <t xml:space="preserve">; (ii) </t>
    </r>
    <r>
      <rPr>
        <sz val="11"/>
        <color rgb="FF0070C0"/>
        <rFont val="Book Antiqua"/>
        <family val="1"/>
      </rPr>
      <t>blue for US peer data</t>
    </r>
    <r>
      <rPr>
        <sz val="11"/>
        <rFont val="Book Antiqua"/>
        <family val="1"/>
      </rPr>
      <t xml:space="preserve">; (iii) </t>
    </r>
    <r>
      <rPr>
        <sz val="11"/>
        <color rgb="FF00B050"/>
        <rFont val="Book Antiqua"/>
        <family val="1"/>
      </rPr>
      <t>green for other third party data (e.g. EUCG, CANSIM)</t>
    </r>
    <r>
      <rPr>
        <sz val="11"/>
        <rFont val="Book Antiqua"/>
        <family val="1"/>
      </rPr>
      <t>; and (iv) black for calculated values</t>
    </r>
  </si>
  <si>
    <t>Note:</t>
  </si>
  <si>
    <t xml:space="preserve">A PPP of 1.23 Canadian dollars per 1 US dollar was used to convert US peer O&amp;M costs and revenues to Canadian dollars so that that different peers can be </t>
  </si>
  <si>
    <t>compared on an equal basis. PPP was chosen over exchange rates as it better reflects underlying fundamentals (excluding speculation for example) and is less volatile.</t>
  </si>
  <si>
    <t>Source: See StatsCan CANSIM Tables</t>
  </si>
  <si>
    <t>Source: See US BLS &amp; BEA tables</t>
  </si>
  <si>
    <t>Source OECD (http://stats.oecd.org/Index.aspx?DataSetCode=PPPGDP)</t>
  </si>
  <si>
    <t>Shows growth rates for all the indexes using both methods. Cell I112 highlights the average TFP index growth rate for 2002-2014, while cell D117 highlights the TFP growth rate using the 'trend regression' method</t>
  </si>
  <si>
    <t>Note: LEI derived the above tables from EUCG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</si>
</sst>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_(* #,##0_);_(* \(#,##0\);_(* &quot;-&quot;??_);_(@_)"/>
    <numFmt numFmtId="166" formatCode="0.000"/>
    <numFmt numFmtId="167" formatCode="0.0%"/>
    <numFmt numFmtId="168" formatCode="_(* #,##0.000_);_(* \(#,##0.000\);_(* &quot;-&quot;??_);_(@_)"/>
    <numFmt numFmtId="169" formatCode="_(* #,##0.0000_);_(* \(#,##0.0000\);_(* &quot;-&quot;??_);_(@_)"/>
    <numFmt numFmtId="170" formatCode="[$-409]mmmm\ d\,\ yyyy;@"/>
    <numFmt numFmtId="171" formatCode="#0.0"/>
  </numFmts>
  <fonts count="10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0"/>
      <name val="Book Antiqua"/>
      <family val="1"/>
    </font>
    <font>
      <sz val="10"/>
      <name val="Book Antiqua"/>
      <family val="1"/>
    </font>
    <font>
      <sz val="10"/>
      <name val="Arial"/>
      <family val="2"/>
    </font>
    <font>
      <b/>
      <sz val="10"/>
      <name val="Book Antiqua"/>
      <family val="1"/>
    </font>
    <font>
      <sz val="10"/>
      <color theme="0"/>
      <name val="Book Antiqua"/>
      <family val="1"/>
    </font>
    <font>
      <b/>
      <sz val="8"/>
      <color indexed="81"/>
      <name val="Tahoma"/>
      <family val="2"/>
    </font>
    <font>
      <sz val="8"/>
      <color indexed="81"/>
      <name val="Tahoma"/>
      <family val="2"/>
    </font>
    <font>
      <b/>
      <sz val="12"/>
      <color theme="0"/>
      <name val="Arial"/>
      <family val="2"/>
    </font>
    <font>
      <sz val="12"/>
      <name val="Arial"/>
      <family val="2"/>
    </font>
    <font>
      <b/>
      <i/>
      <sz val="10"/>
      <color theme="9"/>
      <name val="Arial"/>
      <family val="2"/>
    </font>
    <font>
      <b/>
      <i/>
      <sz val="10"/>
      <name val="Book Antiqua"/>
      <family val="1"/>
    </font>
    <font>
      <b/>
      <sz val="10"/>
      <color rgb="FF000000"/>
      <name val="Verdana"/>
      <family val="2"/>
    </font>
    <font>
      <b/>
      <sz val="10"/>
      <color rgb="FF333333"/>
      <name val="Arial"/>
      <family val="2"/>
    </font>
    <font>
      <b/>
      <vertAlign val="superscript"/>
      <sz val="10"/>
      <color rgb="FF333333"/>
      <name val="Arial"/>
      <family val="2"/>
    </font>
    <font>
      <b/>
      <vertAlign val="superscript"/>
      <sz val="10"/>
      <color rgb="FF5A306B"/>
      <name val="Verdana"/>
      <family val="2"/>
    </font>
    <font>
      <b/>
      <sz val="15"/>
      <color rgb="FF333333"/>
      <name val="Arial"/>
      <family val="2"/>
    </font>
    <font>
      <b/>
      <sz val="11"/>
      <color rgb="FF333333"/>
      <name val="Arial"/>
      <family val="2"/>
    </font>
    <font>
      <b/>
      <vertAlign val="superscript"/>
      <sz val="12"/>
      <color rgb="FF333333"/>
      <name val="Arial"/>
      <family val="2"/>
    </font>
    <font>
      <b/>
      <vertAlign val="superscript"/>
      <sz val="12"/>
      <color rgb="FF5A306B"/>
      <name val="Verdana"/>
      <family val="2"/>
    </font>
    <font>
      <b/>
      <sz val="10"/>
      <color rgb="FF333333"/>
      <name val="Verdana"/>
      <family val="2"/>
    </font>
    <font>
      <sz val="10"/>
      <color rgb="FF000000"/>
      <name val="Verdana"/>
      <family val="2"/>
    </font>
    <font>
      <b/>
      <i/>
      <sz val="10"/>
      <color rgb="FF222222"/>
      <name val="Verdana"/>
      <family val="2"/>
    </font>
    <font>
      <b/>
      <i/>
      <vertAlign val="superscript"/>
      <sz val="8"/>
      <color rgb="FF222222"/>
      <name val="Verdana"/>
      <family val="2"/>
    </font>
    <font>
      <b/>
      <i/>
      <vertAlign val="superscript"/>
      <sz val="8"/>
      <color rgb="FF5A306B"/>
      <name val="Verdana"/>
      <family val="2"/>
    </font>
    <font>
      <b/>
      <sz val="10"/>
      <color rgb="FF222222"/>
      <name val="Verdana"/>
      <family val="2"/>
    </font>
    <font>
      <b/>
      <i/>
      <sz val="10"/>
      <color rgb="FF000000"/>
      <name val="Verdana"/>
      <family val="2"/>
    </font>
    <font>
      <b/>
      <vertAlign val="superscript"/>
      <sz val="8"/>
      <color rgb="FF222222"/>
      <name val="Verdana"/>
      <family val="2"/>
    </font>
    <font>
      <b/>
      <vertAlign val="superscript"/>
      <sz val="8"/>
      <color rgb="FF5A306B"/>
      <name val="Verdana"/>
      <family val="2"/>
    </font>
    <font>
      <b/>
      <sz val="10"/>
      <color rgb="FF5A306B"/>
      <name val="Verdana"/>
      <family val="2"/>
    </font>
    <font>
      <b/>
      <u/>
      <sz val="10"/>
      <color rgb="FF666666"/>
      <name val="Verdana"/>
      <family val="2"/>
    </font>
    <font>
      <u/>
      <sz val="10"/>
      <color indexed="12"/>
      <name val="Arial"/>
      <family val="2"/>
    </font>
    <font>
      <i/>
      <sz val="10"/>
      <color rgb="FF000000"/>
      <name val="Verdana"/>
      <family val="2"/>
    </font>
    <font>
      <b/>
      <i/>
      <sz val="11"/>
      <color theme="9" tint="-0.249977111117893"/>
      <name val="Book Antiqua"/>
      <family val="1"/>
    </font>
    <font>
      <b/>
      <sz val="12"/>
      <color rgb="FF333333"/>
      <name val="Arial"/>
      <family val="2"/>
    </font>
    <font>
      <sz val="10"/>
      <color theme="8"/>
      <name val="Arial"/>
      <family val="2"/>
    </font>
    <font>
      <b/>
      <sz val="14"/>
      <color theme="0"/>
      <name val="Lucida Sans"/>
      <family val="2"/>
    </font>
    <font>
      <b/>
      <sz val="12"/>
      <color theme="0"/>
      <name val="Lucida Sans"/>
      <family val="2"/>
    </font>
    <font>
      <b/>
      <i/>
      <sz val="12"/>
      <color theme="0"/>
      <name val="Lucida Sans"/>
      <family val="2"/>
    </font>
    <font>
      <b/>
      <sz val="12"/>
      <name val="Lucida Sans"/>
      <family val="2"/>
    </font>
    <font>
      <i/>
      <sz val="9"/>
      <color theme="1"/>
      <name val="Lucida Sans"/>
      <family val="2"/>
    </font>
    <font>
      <b/>
      <i/>
      <sz val="12"/>
      <name val="Lucida Sans"/>
      <family val="2"/>
    </font>
    <font>
      <b/>
      <sz val="11"/>
      <color theme="1"/>
      <name val="Calibri"/>
      <family val="2"/>
      <scheme val="minor"/>
    </font>
    <font>
      <b/>
      <sz val="10"/>
      <color theme="1"/>
      <name val="Calibri"/>
      <family val="2"/>
      <scheme val="minor"/>
    </font>
    <font>
      <u/>
      <sz val="11"/>
      <color theme="10"/>
      <name val="Calibri"/>
      <family val="2"/>
      <scheme val="minor"/>
    </font>
    <font>
      <b/>
      <sz val="14"/>
      <name val="Arial"/>
      <family val="2"/>
    </font>
    <font>
      <sz val="13"/>
      <name val="Arial"/>
      <family val="2"/>
    </font>
    <font>
      <b/>
      <sz val="11"/>
      <color theme="0"/>
      <name val="Calibri"/>
      <family val="2"/>
      <scheme val="minor"/>
    </font>
    <font>
      <sz val="9"/>
      <color theme="1"/>
      <name val="Lucida Sans"/>
      <family val="2"/>
    </font>
    <font>
      <sz val="10"/>
      <color theme="8"/>
      <name val="Book Antiqua"/>
      <family val="1"/>
    </font>
    <font>
      <b/>
      <sz val="16"/>
      <color theme="1"/>
      <name val="Book Antiqua"/>
      <family val="1"/>
    </font>
    <font>
      <sz val="12"/>
      <color theme="1"/>
      <name val="Book Antiqua"/>
      <family val="1"/>
    </font>
    <font>
      <sz val="11"/>
      <color theme="1"/>
      <name val="Book Antiqua"/>
      <family val="1"/>
    </font>
    <font>
      <b/>
      <sz val="11"/>
      <color theme="1"/>
      <name val="Book Antiqua"/>
      <family val="1"/>
    </font>
    <font>
      <i/>
      <sz val="12"/>
      <color theme="1"/>
      <name val="Book Antiqua"/>
      <family val="1"/>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u/>
      <sz val="11"/>
      <color theme="1"/>
      <name val="Book Antiqua"/>
      <family val="1"/>
    </font>
    <font>
      <sz val="11"/>
      <name val="Book Antiqua"/>
      <family val="1"/>
    </font>
    <font>
      <sz val="11"/>
      <color theme="0"/>
      <name val="Book Antiqua"/>
      <family val="1"/>
    </font>
    <font>
      <sz val="11"/>
      <name val="Calibri"/>
      <family val="2"/>
    </font>
    <font>
      <b/>
      <u/>
      <sz val="11"/>
      <name val="Book Antiqua"/>
      <family val="1"/>
    </font>
    <font>
      <b/>
      <sz val="11"/>
      <name val="Book Antiqua"/>
      <family val="1"/>
    </font>
    <font>
      <b/>
      <sz val="10"/>
      <color theme="1"/>
      <name val="Book Antiqua"/>
      <family val="1"/>
    </font>
    <font>
      <b/>
      <u/>
      <sz val="10"/>
      <color theme="1"/>
      <name val="Book Antiqua"/>
      <family val="1"/>
    </font>
    <font>
      <sz val="10"/>
      <color theme="1"/>
      <name val="Book Antiqua"/>
      <family val="1"/>
    </font>
    <font>
      <sz val="10"/>
      <name val="Arial"/>
      <family val="2"/>
    </font>
    <font>
      <sz val="11"/>
      <color indexed="8"/>
      <name val="Calibri"/>
      <family val="2"/>
      <scheme val="minor"/>
    </font>
    <font>
      <b/>
      <sz val="12"/>
      <color indexed="8"/>
      <name val="Arial"/>
      <family val="2"/>
    </font>
    <font>
      <sz val="10"/>
      <color indexed="8"/>
      <name val="Arial"/>
      <family val="2"/>
    </font>
    <font>
      <b/>
      <sz val="10"/>
      <color indexed="8"/>
      <name val="Arial"/>
      <family val="2"/>
    </font>
    <font>
      <b/>
      <sz val="11"/>
      <color indexed="8"/>
      <name val="Calibri"/>
      <family val="2"/>
      <scheme val="minor"/>
    </font>
    <font>
      <i/>
      <sz val="11"/>
      <color theme="1"/>
      <name val="Calibri"/>
      <family val="2"/>
      <scheme val="minor"/>
    </font>
    <font>
      <i/>
      <sz val="10"/>
      <name val="Arial"/>
      <family val="2"/>
    </font>
    <font>
      <b/>
      <i/>
      <sz val="11"/>
      <color theme="1"/>
      <name val="Calibri"/>
      <family val="2"/>
      <scheme val="minor"/>
    </font>
    <font>
      <sz val="10"/>
      <name val="Arial"/>
      <family val="2"/>
    </font>
    <font>
      <sz val="10"/>
      <color rgb="FF0070C0"/>
      <name val="Book Antiqua"/>
      <family val="1"/>
    </font>
    <font>
      <sz val="10"/>
      <color rgb="FF0070C0"/>
      <name val="Arial"/>
      <family val="2"/>
    </font>
    <font>
      <sz val="10"/>
      <color rgb="FF00B050"/>
      <name val="Book Antiqua"/>
      <family val="1"/>
    </font>
    <font>
      <sz val="10"/>
      <color rgb="FF00B050"/>
      <name val="Arial"/>
      <family val="2"/>
    </font>
    <font>
      <sz val="10"/>
      <color rgb="FF00B050"/>
      <name val="Verdana"/>
      <family val="2"/>
    </font>
    <font>
      <vertAlign val="superscript"/>
      <sz val="8"/>
      <color rgb="FF00B050"/>
      <name val="Verdana"/>
      <family val="2"/>
    </font>
    <font>
      <sz val="11"/>
      <color rgb="FFFF0000"/>
      <name val="Book Antiqua"/>
      <family val="1"/>
    </font>
    <font>
      <sz val="11"/>
      <color rgb="FF0070C0"/>
      <name val="Book Antiqua"/>
      <family val="1"/>
    </font>
    <font>
      <sz val="11"/>
      <color rgb="FF00B050"/>
      <name val="Book Antiqua"/>
      <family val="1"/>
    </font>
    <font>
      <sz val="10"/>
      <color rgb="FFFF0000"/>
      <name val="Book Antiqua"/>
      <family val="1"/>
    </font>
    <font>
      <sz val="10"/>
      <name val="Verdana"/>
      <family val="2"/>
    </font>
  </fonts>
  <fills count="59">
    <fill>
      <patternFill patternType="none"/>
    </fill>
    <fill>
      <patternFill patternType="gray125"/>
    </fill>
    <fill>
      <patternFill patternType="solid">
        <fgColor theme="3"/>
        <bgColor indexed="64"/>
      </patternFill>
    </fill>
    <fill>
      <patternFill patternType="solid">
        <fgColor theme="5"/>
        <bgColor indexed="64"/>
      </patternFill>
    </fill>
    <fill>
      <patternFill patternType="solid">
        <fgColor theme="4"/>
        <bgColor indexed="64"/>
      </patternFill>
    </fill>
    <fill>
      <patternFill patternType="solid">
        <fgColor rgb="FFFFFF99"/>
        <bgColor indexed="64"/>
      </patternFill>
    </fill>
    <fill>
      <patternFill patternType="solid">
        <fgColor theme="4" tint="0.79998168889431442"/>
        <bgColor indexed="64"/>
      </patternFill>
    </fill>
    <fill>
      <patternFill patternType="solid">
        <fgColor rgb="FFEEEEEE"/>
        <bgColor indexed="64"/>
      </patternFill>
    </fill>
    <fill>
      <patternFill patternType="solid">
        <fgColor rgb="FFFFFFFF"/>
        <bgColor indexed="64"/>
      </patternFill>
    </fill>
    <fill>
      <patternFill patternType="solid">
        <fgColor rgb="FFCCCCCC"/>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92D050"/>
        <bgColor indexed="64"/>
      </patternFill>
    </fill>
    <fill>
      <patternFill patternType="solid">
        <fgColor rgb="FFF2F2F2"/>
        <bgColor rgb="FF000000"/>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rgb="FFD4D4D4"/>
      </left>
      <right style="medium">
        <color rgb="FFD4D4D4"/>
      </right>
      <top style="medium">
        <color rgb="FFD4D4D4"/>
      </top>
      <bottom style="medium">
        <color rgb="FFD4D4D4"/>
      </bottom>
      <diagonal/>
    </border>
    <border>
      <left style="medium">
        <color rgb="FFD4D4D4"/>
      </left>
      <right/>
      <top style="medium">
        <color rgb="FFD4D4D4"/>
      </top>
      <bottom style="medium">
        <color rgb="FFD4D4D4"/>
      </bottom>
      <diagonal/>
    </border>
    <border>
      <left/>
      <right/>
      <top/>
      <bottom style="thin">
        <color indexed="64"/>
      </bottom>
      <diagonal/>
    </border>
    <border>
      <left/>
      <right style="thin">
        <color indexed="64"/>
      </right>
      <top/>
      <bottom style="thin">
        <color indexed="64"/>
      </bottom>
      <diagonal/>
    </border>
    <border>
      <left/>
      <right style="medium">
        <color rgb="FFD4D4D4"/>
      </right>
      <top style="medium">
        <color rgb="FFD4D4D4"/>
      </top>
      <bottom style="medium">
        <color rgb="FFD4D4D4"/>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thick">
        <color auto="1"/>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s>
  <cellStyleXfs count="86">
    <xf numFmtId="0" fontId="0" fillId="0" borderId="0"/>
    <xf numFmtId="164" fontId="10" fillId="0" borderId="0" applyFont="0" applyFill="0" applyBorder="0" applyAlignment="0" applyProtection="0"/>
    <xf numFmtId="9" fontId="10" fillId="0" borderId="0" applyFont="0" applyFill="0" applyBorder="0" applyAlignment="0" applyProtection="0"/>
    <xf numFmtId="0" fontId="38" fillId="0" borderId="0" applyNumberFormat="0" applyFill="0" applyBorder="0" applyAlignment="0" applyProtection="0">
      <alignment vertical="top"/>
      <protection locked="0"/>
    </xf>
    <xf numFmtId="0" fontId="7" fillId="0" borderId="0"/>
    <xf numFmtId="164" fontId="7" fillId="0" borderId="0" applyFont="0" applyFill="0" applyBorder="0" applyAlignment="0" applyProtection="0"/>
    <xf numFmtId="9" fontId="7" fillId="0" borderId="0" applyFont="0" applyFill="0" applyBorder="0" applyAlignment="0" applyProtection="0"/>
    <xf numFmtId="0" fontId="51" fillId="0" borderId="0" applyNumberFormat="0" applyFill="0" applyBorder="0" applyAlignment="0" applyProtection="0"/>
    <xf numFmtId="0" fontId="10" fillId="0" borderId="0"/>
    <xf numFmtId="0" fontId="55" fillId="0" borderId="0"/>
    <xf numFmtId="9" fontId="6" fillId="0" borderId="0" applyFont="0" applyFill="0" applyBorder="0" applyAlignment="0" applyProtection="0"/>
    <xf numFmtId="164" fontId="55" fillId="0" borderId="0" applyFont="0" applyFill="0" applyBorder="0" applyAlignment="0" applyProtection="0"/>
    <xf numFmtId="0" fontId="62" fillId="0" borderId="0" applyNumberFormat="0" applyFill="0" applyBorder="0" applyAlignment="0" applyProtection="0"/>
    <xf numFmtId="0" fontId="63" fillId="0" borderId="32" applyNumberFormat="0" applyFill="0" applyAlignment="0" applyProtection="0"/>
    <xf numFmtId="0" fontId="64" fillId="0" borderId="33" applyNumberFormat="0" applyFill="0" applyAlignment="0" applyProtection="0"/>
    <xf numFmtId="0" fontId="65" fillId="0" borderId="34" applyNumberFormat="0" applyFill="0" applyAlignment="0" applyProtection="0"/>
    <xf numFmtId="0" fontId="65" fillId="0" borderId="0" applyNumberFormat="0" applyFill="0" applyBorder="0" applyAlignment="0" applyProtection="0"/>
    <xf numFmtId="0" fontId="66" fillId="20" borderId="0" applyNumberFormat="0" applyBorder="0" applyAlignment="0" applyProtection="0"/>
    <xf numFmtId="0" fontId="67" fillId="21" borderId="0" applyNumberFormat="0" applyBorder="0" applyAlignment="0" applyProtection="0"/>
    <xf numFmtId="0" fontId="68" fillId="22" borderId="0" applyNumberFormat="0" applyBorder="0" applyAlignment="0" applyProtection="0"/>
    <xf numFmtId="0" fontId="69" fillId="23" borderId="35" applyNumberFormat="0" applyAlignment="0" applyProtection="0"/>
    <xf numFmtId="0" fontId="70" fillId="24" borderId="36" applyNumberFormat="0" applyAlignment="0" applyProtection="0"/>
    <xf numFmtId="0" fontId="71" fillId="24" borderId="35" applyNumberFormat="0" applyAlignment="0" applyProtection="0"/>
    <xf numFmtId="0" fontId="72" fillId="0" borderId="37" applyNumberFormat="0" applyFill="0" applyAlignment="0" applyProtection="0"/>
    <xf numFmtId="0" fontId="54" fillId="25" borderId="38" applyNumberFormat="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49" fillId="0" borderId="40" applyNumberFormat="0" applyFill="0" applyAlignment="0" applyProtection="0"/>
    <xf numFmtId="0" fontId="7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75" fillId="30" borderId="0" applyNumberFormat="0" applyBorder="0" applyAlignment="0" applyProtection="0"/>
    <xf numFmtId="0" fontId="7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75" fillId="34" borderId="0" applyNumberFormat="0" applyBorder="0" applyAlignment="0" applyProtection="0"/>
    <xf numFmtId="0" fontId="7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75" fillId="38" borderId="0" applyNumberFormat="0" applyBorder="0" applyAlignment="0" applyProtection="0"/>
    <xf numFmtId="0" fontId="75" fillId="39"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75" fillId="42" borderId="0" applyNumberFormat="0" applyBorder="0" applyAlignment="0" applyProtection="0"/>
    <xf numFmtId="0" fontId="75" fillId="43"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75" fillId="46" borderId="0" applyNumberFormat="0" applyBorder="0" applyAlignment="0" applyProtection="0"/>
    <xf numFmtId="0" fontId="75" fillId="47"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75" fillId="50" borderId="0" applyNumberFormat="0" applyBorder="0" applyAlignment="0" applyProtection="0"/>
    <xf numFmtId="0" fontId="5" fillId="0" borderId="0"/>
    <xf numFmtId="164" fontId="5" fillId="0" borderId="0" applyFont="0" applyFill="0" applyBorder="0" applyAlignment="0" applyProtection="0"/>
    <xf numFmtId="0" fontId="5" fillId="26" borderId="39" applyNumberFormat="0" applyFont="0" applyAlignment="0" applyProtection="0"/>
    <xf numFmtId="0" fontId="4" fillId="0" borderId="0"/>
    <xf numFmtId="0" fontId="85" fillId="0" borderId="0"/>
    <xf numFmtId="0" fontId="86" fillId="0" borderId="0"/>
    <xf numFmtId="0" fontId="3" fillId="0" borderId="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94" fillId="0" borderId="0"/>
    <xf numFmtId="164" fontId="10" fillId="0" borderId="0" applyFont="0" applyFill="0" applyBorder="0" applyAlignment="0" applyProtection="0"/>
    <xf numFmtId="9" fontId="10"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164" fontId="3" fillId="0" borderId="0" applyFont="0" applyFill="0" applyBorder="0" applyAlignment="0" applyProtection="0"/>
    <xf numFmtId="0" fontId="3" fillId="26" borderId="39" applyNumberFormat="0" applyFont="0" applyAlignment="0" applyProtection="0"/>
    <xf numFmtId="0" fontId="3" fillId="0" borderId="0"/>
    <xf numFmtId="0" fontId="10" fillId="0" borderId="0"/>
    <xf numFmtId="0" fontId="10" fillId="0" borderId="0"/>
    <xf numFmtId="0" fontId="2" fillId="0" borderId="0"/>
    <xf numFmtId="0" fontId="1" fillId="0" borderId="0"/>
  </cellStyleXfs>
  <cellXfs count="437">
    <xf numFmtId="0" fontId="0" fillId="0" borderId="0" xfId="0"/>
    <xf numFmtId="0" fontId="9" fillId="0" borderId="0" xfId="0" applyFont="1"/>
    <xf numFmtId="0" fontId="9" fillId="0" borderId="0" xfId="0" applyFont="1" applyAlignment="1">
      <alignment horizontal="center" vertical="center"/>
    </xf>
    <xf numFmtId="165" fontId="9" fillId="0" borderId="0" xfId="1" applyNumberFormat="1" applyFont="1" applyAlignment="1">
      <alignment horizontal="center" vertical="center"/>
    </xf>
    <xf numFmtId="164" fontId="9" fillId="0" borderId="0" xfId="0" applyNumberFormat="1" applyFont="1" applyAlignment="1">
      <alignment horizontal="center" vertical="center"/>
    </xf>
    <xf numFmtId="164" fontId="9" fillId="0" borderId="0" xfId="1" applyNumberFormat="1" applyFont="1" applyAlignment="1">
      <alignment horizontal="center" vertical="center"/>
    </xf>
    <xf numFmtId="2" fontId="9" fillId="0" borderId="0" xfId="0" applyNumberFormat="1" applyFont="1"/>
    <xf numFmtId="166" fontId="9" fillId="0" borderId="0" xfId="0" applyNumberFormat="1" applyFont="1"/>
    <xf numFmtId="165" fontId="9" fillId="0" borderId="0" xfId="1" applyNumberFormat="1" applyFont="1"/>
    <xf numFmtId="164" fontId="9" fillId="0" borderId="0" xfId="1" applyFont="1"/>
    <xf numFmtId="2" fontId="9" fillId="0" borderId="4" xfId="0" applyNumberFormat="1" applyFont="1" applyBorder="1"/>
    <xf numFmtId="2" fontId="9" fillId="0" borderId="0" xfId="0" applyNumberFormat="1" applyFont="1" applyBorder="1"/>
    <xf numFmtId="2" fontId="9" fillId="0" borderId="6" xfId="0" applyNumberFormat="1" applyFont="1" applyBorder="1"/>
    <xf numFmtId="2" fontId="9" fillId="0" borderId="7" xfId="0" applyNumberFormat="1" applyFont="1" applyBorder="1"/>
    <xf numFmtId="0" fontId="9" fillId="0" borderId="9" xfId="0" applyFont="1" applyBorder="1" applyAlignment="1">
      <alignment horizontal="center" vertical="center"/>
    </xf>
    <xf numFmtId="0" fontId="0" fillId="0" borderId="0" xfId="0" applyAlignment="1">
      <alignment horizontal="center" vertical="center"/>
    </xf>
    <xf numFmtId="0" fontId="8" fillId="4" borderId="0" xfId="0" applyFont="1" applyFill="1" applyAlignment="1">
      <alignment horizontal="center" vertical="center"/>
    </xf>
    <xf numFmtId="9" fontId="9" fillId="0" borderId="0" xfId="2" applyFont="1" applyAlignment="1">
      <alignment horizontal="center" vertical="center"/>
    </xf>
    <xf numFmtId="0" fontId="10" fillId="0" borderId="0" xfId="0" applyFont="1"/>
    <xf numFmtId="9" fontId="10" fillId="0" borderId="0" xfId="0" applyNumberFormat="1" applyFont="1" applyFill="1"/>
    <xf numFmtId="0" fontId="9" fillId="0" borderId="0" xfId="0" applyFont="1" applyAlignment="1">
      <alignment horizontal="center"/>
    </xf>
    <xf numFmtId="2" fontId="9" fillId="0" borderId="0" xfId="0" applyNumberFormat="1" applyFont="1" applyAlignment="1">
      <alignment horizontal="center"/>
    </xf>
    <xf numFmtId="164" fontId="9" fillId="0" borderId="0" xfId="1" applyFont="1" applyAlignment="1">
      <alignment horizontal="center"/>
    </xf>
    <xf numFmtId="0" fontId="15" fillId="2" borderId="0" xfId="0" applyFont="1" applyFill="1"/>
    <xf numFmtId="0" fontId="15" fillId="2" borderId="9" xfId="0" applyFont="1" applyFill="1" applyBorder="1"/>
    <xf numFmtId="0" fontId="15" fillId="2" borderId="0" xfId="0" applyFont="1" applyFill="1" applyBorder="1"/>
    <xf numFmtId="0" fontId="16" fillId="2" borderId="0" xfId="0" applyFont="1" applyFill="1"/>
    <xf numFmtId="0" fontId="15" fillId="0" borderId="0" xfId="0" applyFont="1" applyFill="1"/>
    <xf numFmtId="0" fontId="15" fillId="0" borderId="9" xfId="0" applyFont="1" applyFill="1" applyBorder="1"/>
    <xf numFmtId="0" fontId="15" fillId="0" borderId="0" xfId="0" applyFont="1" applyFill="1" applyBorder="1"/>
    <xf numFmtId="0" fontId="16" fillId="0" borderId="0" xfId="0" applyFont="1" applyFill="1"/>
    <xf numFmtId="0" fontId="17" fillId="0" borderId="0" xfId="0" applyFont="1" applyFill="1"/>
    <xf numFmtId="0" fontId="0" fillId="0" borderId="9" xfId="0" applyBorder="1"/>
    <xf numFmtId="0" fontId="0" fillId="0" borderId="0" xfId="0" applyBorder="1"/>
    <xf numFmtId="0" fontId="18" fillId="6" borderId="0" xfId="0" applyFont="1" applyFill="1"/>
    <xf numFmtId="0" fontId="0" fillId="6" borderId="0" xfId="0" applyFill="1"/>
    <xf numFmtId="0" fontId="0" fillId="6" borderId="9" xfId="0" applyFill="1" applyBorder="1"/>
    <xf numFmtId="0" fontId="0" fillId="6" borderId="0" xfId="0" applyFill="1" applyBorder="1"/>
    <xf numFmtId="0" fontId="0" fillId="0" borderId="0" xfId="0" applyFill="1"/>
    <xf numFmtId="0" fontId="19" fillId="6" borderId="0" xfId="0" applyFont="1" applyFill="1" applyBorder="1" applyAlignment="1"/>
    <xf numFmtId="0" fontId="20" fillId="6" borderId="0" xfId="0" applyFont="1" applyFill="1" applyBorder="1" applyAlignment="1"/>
    <xf numFmtId="0" fontId="27" fillId="0" borderId="0" xfId="0" applyFont="1" applyBorder="1" applyAlignment="1"/>
    <xf numFmtId="0" fontId="28" fillId="0" borderId="0" xfId="0" applyFont="1"/>
    <xf numFmtId="0" fontId="29" fillId="0" borderId="0" xfId="0" applyFont="1"/>
    <xf numFmtId="0" fontId="32" fillId="7" borderId="10" xfId="0" applyFont="1" applyFill="1" applyBorder="1" applyAlignment="1">
      <alignment horizontal="center" vertical="top"/>
    </xf>
    <xf numFmtId="0" fontId="32" fillId="7" borderId="11" xfId="0" applyFont="1" applyFill="1" applyBorder="1" applyAlignment="1">
      <alignment vertical="top" wrapText="1"/>
    </xf>
    <xf numFmtId="0" fontId="32" fillId="7" borderId="10" xfId="0" applyFont="1" applyFill="1" applyBorder="1" applyAlignment="1">
      <alignment horizontal="center" vertical="top" wrapText="1"/>
    </xf>
    <xf numFmtId="0" fontId="10" fillId="0" borderId="0" xfId="0" applyFont="1" applyBorder="1"/>
    <xf numFmtId="0" fontId="33" fillId="0" borderId="0" xfId="0" applyFont="1"/>
    <xf numFmtId="0" fontId="32" fillId="7" borderId="10" xfId="0" applyFont="1" applyFill="1" applyBorder="1" applyAlignment="1">
      <alignment horizontal="left" vertical="top"/>
    </xf>
    <xf numFmtId="0" fontId="32" fillId="8" borderId="10" xfId="0" applyFont="1" applyFill="1" applyBorder="1" applyAlignment="1">
      <alignment horizontal="left" vertical="center"/>
    </xf>
    <xf numFmtId="0" fontId="37" fillId="0" borderId="0" xfId="0" applyFont="1" applyAlignment="1">
      <alignment horizontal="left"/>
    </xf>
    <xf numFmtId="0" fontId="0" fillId="8" borderId="0" xfId="0" applyFill="1" applyAlignment="1">
      <alignment vertical="center"/>
    </xf>
    <xf numFmtId="0" fontId="19" fillId="0" borderId="0" xfId="0" applyFont="1" applyAlignment="1">
      <alignment horizontal="right" vertical="center"/>
    </xf>
    <xf numFmtId="0" fontId="28" fillId="0" borderId="0" xfId="0" applyFont="1" applyAlignment="1">
      <alignment horizontal="left" vertical="center"/>
    </xf>
    <xf numFmtId="0" fontId="10" fillId="0" borderId="0" xfId="0" applyFont="1" applyFill="1" applyBorder="1"/>
    <xf numFmtId="0" fontId="38" fillId="0" borderId="0" xfId="3" applyAlignment="1" applyProtection="1">
      <alignment horizontal="left" vertical="center"/>
    </xf>
    <xf numFmtId="0" fontId="19" fillId="0" borderId="0" xfId="0" applyFont="1"/>
    <xf numFmtId="0" fontId="19" fillId="0" borderId="0" xfId="0" applyFont="1" applyAlignment="1">
      <alignment vertical="center"/>
    </xf>
    <xf numFmtId="0" fontId="0" fillId="0" borderId="12" xfId="0" applyBorder="1"/>
    <xf numFmtId="0" fontId="0" fillId="0" borderId="13" xfId="0" applyBorder="1"/>
    <xf numFmtId="0" fontId="19" fillId="0" borderId="12" xfId="0" applyFont="1" applyBorder="1" applyAlignment="1">
      <alignment horizontal="right" vertical="center"/>
    </xf>
    <xf numFmtId="0" fontId="40" fillId="6" borderId="0" xfId="0" applyFont="1" applyFill="1"/>
    <xf numFmtId="0" fontId="24" fillId="6" borderId="0" xfId="0" applyFont="1" applyFill="1" applyBorder="1" applyAlignment="1"/>
    <xf numFmtId="0" fontId="32" fillId="7" borderId="11" xfId="0" applyFont="1" applyFill="1" applyBorder="1" applyAlignment="1">
      <alignment horizontal="center" vertical="top" wrapText="1"/>
    </xf>
    <xf numFmtId="0" fontId="32" fillId="7" borderId="14" xfId="0" applyFont="1" applyFill="1" applyBorder="1" applyAlignment="1">
      <alignment horizontal="center" vertical="top" wrapText="1"/>
    </xf>
    <xf numFmtId="167" fontId="9" fillId="0" borderId="0" xfId="2" applyNumberFormat="1" applyFont="1"/>
    <xf numFmtId="0" fontId="8" fillId="10" borderId="0" xfId="0" applyFont="1" applyFill="1"/>
    <xf numFmtId="0" fontId="8" fillId="10" borderId="0" xfId="0" applyFont="1" applyFill="1" applyAlignment="1">
      <alignment horizontal="center" vertical="center"/>
    </xf>
    <xf numFmtId="0" fontId="9" fillId="11" borderId="0" xfId="0" applyFont="1" applyFill="1" applyAlignment="1">
      <alignment horizontal="center" vertical="center"/>
    </xf>
    <xf numFmtId="0" fontId="9" fillId="11" borderId="9" xfId="0" applyFont="1" applyFill="1" applyBorder="1" applyAlignment="1">
      <alignment horizontal="center" vertical="center"/>
    </xf>
    <xf numFmtId="165" fontId="9" fillId="11" borderId="0" xfId="1" applyNumberFormat="1" applyFont="1" applyFill="1" applyAlignment="1">
      <alignment horizontal="center" vertical="center"/>
    </xf>
    <xf numFmtId="0" fontId="9" fillId="12" borderId="0" xfId="0" applyFont="1" applyFill="1" applyAlignment="1">
      <alignment horizontal="center" vertical="center"/>
    </xf>
    <xf numFmtId="0" fontId="9" fillId="12" borderId="9" xfId="0" applyFont="1" applyFill="1" applyBorder="1" applyAlignment="1">
      <alignment horizontal="center" vertical="center"/>
    </xf>
    <xf numFmtId="165" fontId="9" fillId="12" borderId="0" xfId="1" applyNumberFormat="1" applyFont="1" applyFill="1" applyAlignment="1">
      <alignment horizontal="center" vertical="center"/>
    </xf>
    <xf numFmtId="9" fontId="9" fillId="12" borderId="0" xfId="2" applyFont="1" applyFill="1" applyAlignment="1">
      <alignment horizontal="center" vertical="center"/>
    </xf>
    <xf numFmtId="9" fontId="9" fillId="11" borderId="0" xfId="2" applyFont="1" applyFill="1" applyAlignment="1">
      <alignment horizontal="center" vertical="center"/>
    </xf>
    <xf numFmtId="0" fontId="8" fillId="10" borderId="0" xfId="0" applyFont="1" applyFill="1" applyAlignment="1">
      <alignment horizontal="center" vertical="center" wrapText="1"/>
    </xf>
    <xf numFmtId="164" fontId="11" fillId="0" borderId="0" xfId="1" applyFont="1" applyAlignment="1">
      <alignment horizontal="center"/>
    </xf>
    <xf numFmtId="0" fontId="9" fillId="10" borderId="0" xfId="0" applyFont="1" applyFill="1" applyAlignment="1">
      <alignment horizontal="center" vertical="center"/>
    </xf>
    <xf numFmtId="0" fontId="12" fillId="10" borderId="0" xfId="0" applyFont="1" applyFill="1" applyAlignment="1">
      <alignment horizontal="center" vertical="center"/>
    </xf>
    <xf numFmtId="0" fontId="12" fillId="10" borderId="9" xfId="0" applyFont="1" applyFill="1" applyBorder="1" applyAlignment="1">
      <alignment horizontal="center" vertical="center"/>
    </xf>
    <xf numFmtId="0" fontId="8" fillId="10" borderId="9" xfId="0" applyFont="1" applyFill="1" applyBorder="1" applyAlignment="1">
      <alignment horizontal="center" vertical="center"/>
    </xf>
    <xf numFmtId="0" fontId="8" fillId="10" borderId="0" xfId="0" applyFont="1" applyFill="1" applyBorder="1" applyAlignment="1">
      <alignment horizontal="center" vertical="center"/>
    </xf>
    <xf numFmtId="9" fontId="42" fillId="5" borderId="0" xfId="0" applyNumberFormat="1" applyFont="1" applyFill="1"/>
    <xf numFmtId="9" fontId="0" fillId="0" borderId="0" xfId="2" applyNumberFormat="1" applyFont="1"/>
    <xf numFmtId="0" fontId="9" fillId="10" borderId="0" xfId="0" applyFont="1" applyFill="1"/>
    <xf numFmtId="0" fontId="11" fillId="3" borderId="0" xfId="0" applyFont="1" applyFill="1"/>
    <xf numFmtId="0" fontId="11" fillId="0" borderId="20" xfId="0" applyFont="1" applyBorder="1" applyAlignment="1">
      <alignment horizontal="center" vertical="center"/>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8" fillId="10" borderId="4" xfId="0" applyFont="1" applyFill="1" applyBorder="1" applyAlignment="1">
      <alignment horizontal="center" vertical="center"/>
    </xf>
    <xf numFmtId="0" fontId="8" fillId="10" borderId="5" xfId="0" applyFont="1" applyFill="1" applyBorder="1" applyAlignment="1">
      <alignment horizontal="center" vertical="center"/>
    </xf>
    <xf numFmtId="0" fontId="9" fillId="13" borderId="4" xfId="0" applyFont="1" applyFill="1" applyBorder="1" applyAlignment="1">
      <alignment horizontal="center" vertical="center"/>
    </xf>
    <xf numFmtId="0" fontId="9" fillId="13" borderId="0" xfId="0" applyFont="1" applyFill="1" applyBorder="1" applyAlignment="1">
      <alignment horizontal="center" vertical="center"/>
    </xf>
    <xf numFmtId="0" fontId="9" fillId="13" borderId="0" xfId="0" applyFont="1" applyFill="1" applyBorder="1" applyAlignment="1">
      <alignment horizontal="left" vertical="center"/>
    </xf>
    <xf numFmtId="0" fontId="9" fillId="13" borderId="5" xfId="0" applyFont="1" applyFill="1" applyBorder="1" applyAlignment="1">
      <alignment horizontal="left" vertical="center"/>
    </xf>
    <xf numFmtId="0" fontId="9" fillId="13" borderId="6" xfId="0" applyFont="1" applyFill="1" applyBorder="1" applyAlignment="1">
      <alignment horizontal="center" vertical="center"/>
    </xf>
    <xf numFmtId="0" fontId="9" fillId="13" borderId="7" xfId="0" applyFont="1" applyFill="1" applyBorder="1" applyAlignment="1">
      <alignment horizontal="center" vertical="center"/>
    </xf>
    <xf numFmtId="0" fontId="9" fillId="13" borderId="7" xfId="0" applyFont="1" applyFill="1" applyBorder="1" applyAlignment="1">
      <alignment horizontal="left" vertical="center"/>
    </xf>
    <xf numFmtId="0" fontId="9" fillId="13" borderId="8" xfId="0" applyFont="1" applyFill="1" applyBorder="1" applyAlignment="1">
      <alignment horizontal="left" vertical="center"/>
    </xf>
    <xf numFmtId="0" fontId="12" fillId="10" borderId="1" xfId="0" applyFont="1" applyFill="1" applyBorder="1" applyAlignment="1">
      <alignment horizontal="center" vertical="center"/>
    </xf>
    <xf numFmtId="0" fontId="8" fillId="10" borderId="2" xfId="0" applyFont="1" applyFill="1" applyBorder="1" applyAlignment="1">
      <alignment horizontal="center" vertical="center"/>
    </xf>
    <xf numFmtId="0" fontId="8" fillId="10" borderId="3" xfId="0" applyFont="1" applyFill="1" applyBorder="1" applyAlignment="1">
      <alignment horizontal="center" vertical="center"/>
    </xf>
    <xf numFmtId="164" fontId="9" fillId="0" borderId="0" xfId="0" applyNumberFormat="1" applyFont="1"/>
    <xf numFmtId="0" fontId="11" fillId="14" borderId="0" xfId="0" applyFont="1" applyFill="1"/>
    <xf numFmtId="0" fontId="9" fillId="0" borderId="0" xfId="0" quotePrefix="1" applyFont="1"/>
    <xf numFmtId="9" fontId="9" fillId="0" borderId="0" xfId="2" applyNumberFormat="1" applyFont="1" applyAlignment="1">
      <alignment horizontal="center" vertical="center"/>
    </xf>
    <xf numFmtId="168" fontId="0" fillId="0" borderId="0" xfId="0" applyNumberFormat="1"/>
    <xf numFmtId="0" fontId="28" fillId="8" borderId="0" xfId="0" applyFont="1" applyFill="1" applyBorder="1" applyAlignment="1">
      <alignment vertical="top"/>
    </xf>
    <xf numFmtId="10" fontId="28" fillId="8" borderId="0" xfId="2" applyNumberFormat="1" applyFont="1" applyFill="1" applyBorder="1" applyAlignment="1">
      <alignment vertical="top"/>
    </xf>
    <xf numFmtId="10" fontId="0" fillId="0" borderId="0" xfId="2" applyNumberFormat="1" applyFont="1"/>
    <xf numFmtId="0" fontId="44" fillId="10" borderId="19" xfId="0" applyFont="1" applyFill="1" applyBorder="1" applyAlignment="1">
      <alignment horizontal="center" vertical="top" wrapText="1"/>
    </xf>
    <xf numFmtId="0" fontId="45" fillId="10" borderId="25" xfId="0" applyFont="1" applyFill="1" applyBorder="1" applyAlignment="1">
      <alignment horizontal="center" vertical="top" wrapText="1"/>
    </xf>
    <xf numFmtId="0" fontId="46" fillId="17" borderId="24" xfId="0" applyFont="1" applyFill="1" applyBorder="1" applyAlignment="1">
      <alignment horizontal="left" vertical="top" wrapText="1"/>
    </xf>
    <xf numFmtId="10" fontId="46" fillId="0" borderId="19" xfId="2" applyNumberFormat="1" applyFont="1" applyBorder="1" applyAlignment="1">
      <alignment vertical="center" wrapText="1"/>
    </xf>
    <xf numFmtId="0" fontId="46" fillId="18" borderId="19" xfId="0" applyFont="1" applyFill="1" applyBorder="1" applyAlignment="1">
      <alignment horizontal="left" vertical="top" wrapText="1"/>
    </xf>
    <xf numFmtId="10" fontId="45" fillId="10" borderId="25" xfId="0" applyNumberFormat="1" applyFont="1" applyFill="1" applyBorder="1" applyAlignment="1">
      <alignment vertical="top" wrapText="1"/>
    </xf>
    <xf numFmtId="0" fontId="47" fillId="0" borderId="0" xfId="0" applyFont="1"/>
    <xf numFmtId="0" fontId="45" fillId="10" borderId="26" xfId="0" applyFont="1" applyFill="1" applyBorder="1" applyAlignment="1">
      <alignment vertical="top" wrapText="1"/>
    </xf>
    <xf numFmtId="10" fontId="45" fillId="10" borderId="27" xfId="0" applyNumberFormat="1" applyFont="1" applyFill="1" applyBorder="1" applyAlignment="1">
      <alignment vertical="center" wrapText="1"/>
    </xf>
    <xf numFmtId="0" fontId="45" fillId="10" borderId="27" xfId="0" applyFont="1" applyFill="1" applyBorder="1" applyAlignment="1">
      <alignment vertical="center" wrapText="1"/>
    </xf>
    <xf numFmtId="10" fontId="48" fillId="0" borderId="19" xfId="2" applyNumberFormat="1" applyFont="1" applyBorder="1" applyAlignment="1">
      <alignment vertical="center" wrapText="1"/>
    </xf>
    <xf numFmtId="9" fontId="9" fillId="0" borderId="0" xfId="0" applyNumberFormat="1" applyFont="1"/>
    <xf numFmtId="9" fontId="9" fillId="12" borderId="0" xfId="2" applyNumberFormat="1" applyFont="1" applyFill="1" applyAlignment="1">
      <alignment horizontal="center" vertical="center"/>
    </xf>
    <xf numFmtId="9" fontId="9" fillId="11" borderId="0" xfId="2" applyNumberFormat="1" applyFont="1" applyFill="1" applyAlignment="1">
      <alignment horizontal="center" vertical="center"/>
    </xf>
    <xf numFmtId="165" fontId="9" fillId="12" borderId="0" xfId="0" applyNumberFormat="1" applyFont="1" applyFill="1" applyAlignment="1">
      <alignment horizontal="center" vertical="center"/>
    </xf>
    <xf numFmtId="0" fontId="49" fillId="0" borderId="0" xfId="0" applyFont="1"/>
    <xf numFmtId="0" fontId="0" fillId="0" borderId="20" xfId="0" applyBorder="1"/>
    <xf numFmtId="0" fontId="49" fillId="0" borderId="20" xfId="0" applyFont="1" applyBorder="1"/>
    <xf numFmtId="0" fontId="11" fillId="0" borderId="28" xfId="0" applyFont="1" applyBorder="1" applyAlignment="1">
      <alignment horizontal="center" vertical="center"/>
    </xf>
    <xf numFmtId="9" fontId="11" fillId="15" borderId="20" xfId="2" applyFont="1" applyFill="1" applyBorder="1" applyAlignment="1">
      <alignment horizontal="center" vertical="center"/>
    </xf>
    <xf numFmtId="9" fontId="11" fillId="0" borderId="20" xfId="2" applyFont="1" applyBorder="1" applyAlignment="1">
      <alignment horizontal="center" vertical="center"/>
    </xf>
    <xf numFmtId="0" fontId="50" fillId="0" borderId="20" xfId="0" applyFont="1" applyBorder="1" applyAlignment="1">
      <alignment horizontal="center" vertical="center" wrapText="1"/>
    </xf>
    <xf numFmtId="164" fontId="9" fillId="0" borderId="0" xfId="2" applyNumberFormat="1" applyFont="1" applyAlignment="1">
      <alignment horizontal="center" vertical="center"/>
    </xf>
    <xf numFmtId="0" fontId="8" fillId="0" borderId="0" xfId="0" applyFont="1" applyFill="1" applyAlignment="1">
      <alignment horizontal="center" vertical="center" wrapText="1"/>
    </xf>
    <xf numFmtId="10" fontId="11" fillId="3" borderId="18" xfId="2" applyNumberFormat="1" applyFont="1" applyFill="1" applyBorder="1"/>
    <xf numFmtId="165" fontId="9" fillId="11" borderId="0" xfId="0" applyNumberFormat="1" applyFont="1" applyFill="1" applyAlignment="1">
      <alignment horizontal="center" vertical="center"/>
    </xf>
    <xf numFmtId="169" fontId="9" fillId="0" borderId="0" xfId="1" applyNumberFormat="1" applyFont="1" applyAlignment="1">
      <alignment horizontal="center" vertical="center"/>
    </xf>
    <xf numFmtId="167" fontId="9" fillId="14" borderId="0" xfId="2" applyNumberFormat="1" applyFont="1" applyFill="1"/>
    <xf numFmtId="167" fontId="9" fillId="14" borderId="0" xfId="2" applyNumberFormat="1" applyFont="1" applyFill="1" applyBorder="1"/>
    <xf numFmtId="167" fontId="9" fillId="14" borderId="5" xfId="2" applyNumberFormat="1" applyFont="1" applyFill="1" applyBorder="1"/>
    <xf numFmtId="167" fontId="11" fillId="14" borderId="0" xfId="2" applyNumberFormat="1" applyFont="1" applyFill="1"/>
    <xf numFmtId="2" fontId="9" fillId="13" borderId="0" xfId="0" applyNumberFormat="1" applyFont="1" applyFill="1" applyBorder="1"/>
    <xf numFmtId="166" fontId="9" fillId="13" borderId="0" xfId="0" applyNumberFormat="1" applyFont="1" applyFill="1" applyBorder="1"/>
    <xf numFmtId="0" fontId="9" fillId="13" borderId="0" xfId="0" applyFont="1" applyFill="1" applyBorder="1"/>
    <xf numFmtId="0" fontId="9" fillId="0" borderId="0" xfId="0" applyFont="1" applyBorder="1"/>
    <xf numFmtId="167" fontId="11" fillId="14" borderId="16" xfId="2" applyNumberFormat="1" applyFont="1" applyFill="1" applyBorder="1"/>
    <xf numFmtId="167" fontId="11" fillId="14" borderId="17" xfId="2" applyNumberFormat="1" applyFont="1" applyFill="1" applyBorder="1"/>
    <xf numFmtId="0" fontId="9" fillId="0" borderId="0" xfId="0" applyFont="1" applyFill="1"/>
    <xf numFmtId="0" fontId="9" fillId="0" borderId="1" xfId="0" applyFont="1" applyBorder="1"/>
    <xf numFmtId="0" fontId="9" fillId="0" borderId="2" xfId="0" applyFont="1" applyBorder="1"/>
    <xf numFmtId="0" fontId="9" fillId="0" borderId="3" xfId="0" applyFont="1" applyBorder="1"/>
    <xf numFmtId="0" fontId="8" fillId="10" borderId="0"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9" fillId="0" borderId="4" xfId="0" applyFont="1" applyBorder="1" applyAlignment="1">
      <alignment horizontal="center"/>
    </xf>
    <xf numFmtId="0" fontId="9" fillId="0" borderId="0" xfId="0" applyFont="1" applyBorder="1" applyAlignment="1">
      <alignment horizontal="center"/>
    </xf>
    <xf numFmtId="2" fontId="9" fillId="0" borderId="0" xfId="0" applyNumberFormat="1" applyFont="1" applyBorder="1" applyAlignment="1">
      <alignment horizontal="center"/>
    </xf>
    <xf numFmtId="164" fontId="9" fillId="0" borderId="0" xfId="1" applyFont="1" applyBorder="1" applyAlignment="1">
      <alignment horizontal="center"/>
    </xf>
    <xf numFmtId="2" fontId="9" fillId="0" borderId="5" xfId="0" applyNumberFormat="1" applyFont="1" applyBorder="1" applyAlignment="1">
      <alignment horizontal="center"/>
    </xf>
    <xf numFmtId="164" fontId="9" fillId="0" borderId="0" xfId="0" applyNumberFormat="1" applyFont="1" applyBorder="1"/>
    <xf numFmtId="0" fontId="10" fillId="0" borderId="1" xfId="0" applyFont="1" applyBorder="1"/>
    <xf numFmtId="0" fontId="10" fillId="0" borderId="3" xfId="0" applyFont="1" applyBorder="1"/>
    <xf numFmtId="0" fontId="10" fillId="0" borderId="4" xfId="0" applyFont="1" applyBorder="1"/>
    <xf numFmtId="0" fontId="10" fillId="0" borderId="5" xfId="0" applyFont="1" applyBorder="1"/>
    <xf numFmtId="0" fontId="8" fillId="10" borderId="4" xfId="0" applyFont="1" applyFill="1" applyBorder="1" applyAlignment="1">
      <alignment horizontal="center" vertical="center" wrapText="1"/>
    </xf>
    <xf numFmtId="164" fontId="9" fillId="0" borderId="4" xfId="1" applyFont="1" applyBorder="1" applyAlignment="1">
      <alignment horizontal="center"/>
    </xf>
    <xf numFmtId="0" fontId="0" fillId="0" borderId="5" xfId="0" applyBorder="1"/>
    <xf numFmtId="164" fontId="11" fillId="0" borderId="4" xfId="1" applyFont="1" applyBorder="1" applyAlignment="1">
      <alignment horizontal="center"/>
    </xf>
    <xf numFmtId="0" fontId="0" fillId="0" borderId="6" xfId="0" applyBorder="1"/>
    <xf numFmtId="167" fontId="11" fillId="14" borderId="8" xfId="2" applyNumberFormat="1" applyFont="1" applyFill="1" applyBorder="1"/>
    <xf numFmtId="0" fontId="9" fillId="0" borderId="7" xfId="0" applyFont="1" applyBorder="1"/>
    <xf numFmtId="0" fontId="9" fillId="0" borderId="8" xfId="0" applyFont="1" applyBorder="1"/>
    <xf numFmtId="9" fontId="9" fillId="14" borderId="0" xfId="2" applyFont="1" applyFill="1" applyBorder="1" applyAlignment="1">
      <alignment horizontal="center"/>
    </xf>
    <xf numFmtId="9" fontId="9" fillId="0" borderId="0" xfId="0" applyNumberFormat="1" applyFont="1" applyBorder="1"/>
    <xf numFmtId="0" fontId="9" fillId="0" borderId="29" xfId="0" applyFont="1" applyBorder="1"/>
    <xf numFmtId="167" fontId="11" fillId="14" borderId="30" xfId="0" applyNumberFormat="1" applyFont="1" applyFill="1" applyBorder="1"/>
    <xf numFmtId="167" fontId="11" fillId="14" borderId="31" xfId="0" applyNumberFormat="1" applyFont="1" applyFill="1" applyBorder="1"/>
    <xf numFmtId="0" fontId="11" fillId="19" borderId="0" xfId="0" applyFont="1" applyFill="1"/>
    <xf numFmtId="10" fontId="11" fillId="19" borderId="0" xfId="0" applyNumberFormat="1" applyFont="1" applyFill="1"/>
    <xf numFmtId="0" fontId="11" fillId="0" borderId="0" xfId="0" applyFont="1"/>
    <xf numFmtId="0" fontId="59" fillId="13" borderId="0" xfId="0" applyFont="1" applyFill="1"/>
    <xf numFmtId="0" fontId="60" fillId="13" borderId="0" xfId="0" applyFont="1" applyFill="1" applyAlignment="1"/>
    <xf numFmtId="0" fontId="9" fillId="0" borderId="43" xfId="0" applyFont="1" applyBorder="1" applyAlignment="1">
      <alignment horizontal="center"/>
    </xf>
    <xf numFmtId="0" fontId="9" fillId="0" borderId="44" xfId="0" applyFont="1" applyBorder="1" applyAlignment="1">
      <alignment horizontal="center"/>
    </xf>
    <xf numFmtId="2" fontId="9" fillId="0" borderId="46" xfId="0" applyNumberFormat="1" applyFont="1" applyBorder="1" applyAlignment="1">
      <alignment horizontal="center"/>
    </xf>
    <xf numFmtId="10" fontId="11" fillId="3" borderId="0" xfId="0" applyNumberFormat="1" applyFont="1" applyFill="1"/>
    <xf numFmtId="10" fontId="11" fillId="14" borderId="20" xfId="2" applyNumberFormat="1" applyFont="1" applyFill="1" applyBorder="1"/>
    <xf numFmtId="0" fontId="61" fillId="13" borderId="0" xfId="0" applyFont="1" applyFill="1" applyAlignment="1">
      <alignment horizontal="center"/>
    </xf>
    <xf numFmtId="15" fontId="9" fillId="0" borderId="0" xfId="0" applyNumberFormat="1" applyFont="1"/>
    <xf numFmtId="0" fontId="77" fillId="14" borderId="2" xfId="8" applyFont="1" applyFill="1" applyBorder="1"/>
    <xf numFmtId="0" fontId="77" fillId="14" borderId="3" xfId="8" applyFont="1" applyFill="1" applyBorder="1"/>
    <xf numFmtId="0" fontId="77" fillId="0" borderId="0" xfId="8" applyFont="1"/>
    <xf numFmtId="0" fontId="59" fillId="14" borderId="4" xfId="8" applyFont="1" applyFill="1" applyBorder="1"/>
    <xf numFmtId="0" fontId="59" fillId="14" borderId="0" xfId="8" applyFont="1" applyFill="1" applyBorder="1"/>
    <xf numFmtId="0" fontId="77" fillId="14" borderId="0" xfId="8" applyFont="1" applyFill="1" applyBorder="1"/>
    <xf numFmtId="0" fontId="77" fillId="14" borderId="5" xfId="8" applyFont="1" applyFill="1" applyBorder="1"/>
    <xf numFmtId="0" fontId="59" fillId="51" borderId="4" xfId="8" applyFont="1" applyFill="1" applyBorder="1"/>
    <xf numFmtId="0" fontId="59" fillId="51" borderId="0" xfId="8" applyFont="1" applyFill="1" applyBorder="1"/>
    <xf numFmtId="0" fontId="78" fillId="51" borderId="0" xfId="8" applyFont="1" applyFill="1" applyBorder="1"/>
    <xf numFmtId="0" fontId="78" fillId="51" borderId="5" xfId="8" applyFont="1" applyFill="1" applyBorder="1"/>
    <xf numFmtId="0" fontId="59" fillId="52" borderId="4" xfId="8" applyFont="1" applyFill="1" applyBorder="1"/>
    <xf numFmtId="0" fontId="59" fillId="52" borderId="0" xfId="8" applyFont="1" applyFill="1" applyBorder="1"/>
    <xf numFmtId="0" fontId="78" fillId="52" borderId="0" xfId="8" applyFont="1" applyFill="1" applyBorder="1"/>
    <xf numFmtId="0" fontId="78" fillId="52" borderId="5" xfId="8" applyFont="1" applyFill="1" applyBorder="1"/>
    <xf numFmtId="0" fontId="60" fillId="53" borderId="4" xfId="8" applyFont="1" applyFill="1" applyBorder="1"/>
    <xf numFmtId="0" fontId="59" fillId="53" borderId="0" xfId="8" applyFont="1" applyFill="1" applyBorder="1"/>
    <xf numFmtId="0" fontId="77" fillId="53" borderId="0" xfId="8" applyFont="1" applyFill="1" applyBorder="1"/>
    <xf numFmtId="0" fontId="77" fillId="53" borderId="5" xfId="8" applyFont="1" applyFill="1" applyBorder="1"/>
    <xf numFmtId="0" fontId="59" fillId="53" borderId="4" xfId="8" applyFont="1" applyFill="1" applyBorder="1"/>
    <xf numFmtId="0" fontId="60" fillId="54" borderId="4" xfId="8" applyFont="1" applyFill="1" applyBorder="1"/>
    <xf numFmtId="0" fontId="59" fillId="54" borderId="0" xfId="8" applyFont="1" applyFill="1" applyBorder="1"/>
    <xf numFmtId="0" fontId="59" fillId="54" borderId="5" xfId="8" applyFont="1" applyFill="1" applyBorder="1"/>
    <xf numFmtId="0" fontId="60" fillId="55" borderId="4" xfId="8" applyFont="1" applyFill="1" applyBorder="1"/>
    <xf numFmtId="0" fontId="59" fillId="55" borderId="0" xfId="8" applyFont="1" applyFill="1" applyBorder="1"/>
    <xf numFmtId="0" fontId="77" fillId="55" borderId="0" xfId="8" applyFont="1" applyFill="1" applyBorder="1"/>
    <xf numFmtId="0" fontId="77" fillId="55" borderId="5" xfId="8" applyFont="1" applyFill="1" applyBorder="1"/>
    <xf numFmtId="0" fontId="60" fillId="56" borderId="4" xfId="8" applyFont="1" applyFill="1" applyBorder="1"/>
    <xf numFmtId="0" fontId="59" fillId="56" borderId="0" xfId="8" applyFont="1" applyFill="1" applyBorder="1"/>
    <xf numFmtId="0" fontId="77" fillId="56" borderId="0" xfId="8" applyFont="1" applyFill="1" applyBorder="1"/>
    <xf numFmtId="0" fontId="77" fillId="56" borderId="5" xfId="8" applyFont="1" applyFill="1" applyBorder="1"/>
    <xf numFmtId="0" fontId="59" fillId="57" borderId="6" xfId="8" applyFont="1" applyFill="1" applyBorder="1"/>
    <xf numFmtId="0" fontId="59" fillId="57" borderId="7" xfId="8" applyFont="1" applyFill="1" applyBorder="1"/>
    <xf numFmtId="0" fontId="59" fillId="57" borderId="8" xfId="8" applyFont="1" applyFill="1" applyBorder="1"/>
    <xf numFmtId="0" fontId="79" fillId="0" borderId="0" xfId="8" applyFont="1"/>
    <xf numFmtId="0" fontId="80" fillId="13" borderId="1" xfId="8" applyFont="1" applyFill="1" applyBorder="1"/>
    <xf numFmtId="0" fontId="77" fillId="13" borderId="2" xfId="8" applyFont="1" applyFill="1" applyBorder="1"/>
    <xf numFmtId="0" fontId="77" fillId="13" borderId="3" xfId="8" applyFont="1" applyFill="1" applyBorder="1"/>
    <xf numFmtId="0" fontId="77" fillId="13" borderId="4" xfId="8" applyFont="1" applyFill="1" applyBorder="1"/>
    <xf numFmtId="0" fontId="77" fillId="13" borderId="0" xfId="8" applyFont="1" applyFill="1" applyBorder="1"/>
    <xf numFmtId="0" fontId="77" fillId="13" borderId="5" xfId="8" applyFont="1" applyFill="1" applyBorder="1"/>
    <xf numFmtId="0" fontId="81" fillId="13" borderId="4" xfId="8" applyFont="1" applyFill="1" applyBorder="1"/>
    <xf numFmtId="0" fontId="81" fillId="13" borderId="6" xfId="8" applyFont="1" applyFill="1" applyBorder="1"/>
    <xf numFmtId="0" fontId="77" fillId="13" borderId="7" xfId="8" applyFont="1" applyFill="1" applyBorder="1"/>
    <xf numFmtId="0" fontId="77" fillId="13" borderId="8" xfId="8" applyFont="1" applyFill="1" applyBorder="1"/>
    <xf numFmtId="0" fontId="0" fillId="12" borderId="0" xfId="0" applyFill="1"/>
    <xf numFmtId="0" fontId="9" fillId="13" borderId="0" xfId="0" applyFont="1" applyFill="1" applyAlignment="1">
      <alignment horizontal="center" vertical="center"/>
    </xf>
    <xf numFmtId="164" fontId="9" fillId="13" borderId="0" xfId="1" applyFont="1" applyFill="1" applyAlignment="1">
      <alignment horizontal="center" vertical="center"/>
    </xf>
    <xf numFmtId="0" fontId="0" fillId="13" borderId="0" xfId="0" applyFill="1" applyAlignment="1">
      <alignment horizontal="center" vertical="center"/>
    </xf>
    <xf numFmtId="0" fontId="0" fillId="13" borderId="0" xfId="0" applyFill="1"/>
    <xf numFmtId="0" fontId="0" fillId="11" borderId="0" xfId="0" applyFill="1"/>
    <xf numFmtId="0" fontId="12" fillId="51" borderId="0" xfId="0" applyFont="1" applyFill="1"/>
    <xf numFmtId="0" fontId="82" fillId="51" borderId="0" xfId="0" applyFont="1" applyFill="1"/>
    <xf numFmtId="0" fontId="9" fillId="51" borderId="0" xfId="0" applyFont="1" applyFill="1"/>
    <xf numFmtId="0" fontId="9" fillId="13" borderId="0" xfId="0" applyFont="1" applyFill="1"/>
    <xf numFmtId="0" fontId="11" fillId="13" borderId="0" xfId="0" applyFont="1" applyFill="1"/>
    <xf numFmtId="0" fontId="8" fillId="13" borderId="0" xfId="0" applyFont="1" applyFill="1" applyAlignment="1">
      <alignment horizontal="center" vertical="center"/>
    </xf>
    <xf numFmtId="164" fontId="9" fillId="13" borderId="0" xfId="0" applyNumberFormat="1" applyFont="1" applyFill="1"/>
    <xf numFmtId="0" fontId="12" fillId="52" borderId="0" xfId="0" applyFont="1" applyFill="1"/>
    <xf numFmtId="0" fontId="82" fillId="52" borderId="0" xfId="0" applyFont="1" applyFill="1"/>
    <xf numFmtId="0" fontId="9" fillId="53" borderId="0" xfId="0" applyFont="1" applyFill="1"/>
    <xf numFmtId="0" fontId="82" fillId="53" borderId="0" xfId="0" applyFont="1" applyFill="1"/>
    <xf numFmtId="10" fontId="9" fillId="13" borderId="0" xfId="2" applyNumberFormat="1" applyFont="1" applyFill="1" applyBorder="1"/>
    <xf numFmtId="10" fontId="11" fillId="3" borderId="20" xfId="2" applyNumberFormat="1" applyFont="1" applyFill="1" applyBorder="1"/>
    <xf numFmtId="0" fontId="84" fillId="54" borderId="0" xfId="0" applyFont="1" applyFill="1"/>
    <xf numFmtId="0" fontId="82" fillId="54" borderId="0" xfId="0" applyFont="1" applyFill="1"/>
    <xf numFmtId="2" fontId="9" fillId="0" borderId="0" xfId="0" applyNumberFormat="1" applyFont="1" applyFill="1"/>
    <xf numFmtId="166" fontId="9" fillId="0" borderId="0" xfId="0" applyNumberFormat="1" applyFont="1" applyFill="1"/>
    <xf numFmtId="167" fontId="9" fillId="0" borderId="0" xfId="2" applyNumberFormat="1" applyFont="1" applyFill="1" applyBorder="1"/>
    <xf numFmtId="167" fontId="11" fillId="0" borderId="20" xfId="2" applyNumberFormat="1" applyFont="1" applyFill="1" applyBorder="1"/>
    <xf numFmtId="0" fontId="9" fillId="56" borderId="0" xfId="0" applyFont="1" applyFill="1"/>
    <xf numFmtId="0" fontId="82" fillId="56" borderId="0" xfId="0" applyFont="1" applyFill="1"/>
    <xf numFmtId="0" fontId="9" fillId="55" borderId="0" xfId="0" applyFont="1" applyFill="1"/>
    <xf numFmtId="0" fontId="82" fillId="55" borderId="0" xfId="0" applyFont="1" applyFill="1"/>
    <xf numFmtId="0" fontId="84" fillId="57" borderId="0" xfId="0" applyFont="1" applyFill="1"/>
    <xf numFmtId="0" fontId="82" fillId="57" borderId="0" xfId="0" applyFont="1" applyFill="1"/>
    <xf numFmtId="2" fontId="9" fillId="0" borderId="5" xfId="0" applyNumberFormat="1" applyFont="1" applyFill="1" applyBorder="1"/>
    <xf numFmtId="167" fontId="9" fillId="0" borderId="5" xfId="2" applyNumberFormat="1" applyFont="1" applyFill="1" applyBorder="1"/>
    <xf numFmtId="167" fontId="9" fillId="0" borderId="8" xfId="2" applyNumberFormat="1" applyFont="1" applyFill="1" applyBorder="1"/>
    <xf numFmtId="167" fontId="11" fillId="0" borderId="17" xfId="2" applyNumberFormat="1" applyFont="1" applyFill="1" applyBorder="1"/>
    <xf numFmtId="0" fontId="11" fillId="19" borderId="1" xfId="0" applyFont="1" applyFill="1" applyBorder="1"/>
    <xf numFmtId="0" fontId="11" fillId="19" borderId="2" xfId="0" applyFont="1" applyFill="1" applyBorder="1"/>
    <xf numFmtId="0" fontId="11" fillId="19" borderId="3" xfId="0" applyFont="1" applyFill="1" applyBorder="1"/>
    <xf numFmtId="0" fontId="8" fillId="10" borderId="4" xfId="0" applyFont="1" applyFill="1" applyBorder="1"/>
    <xf numFmtId="0" fontId="9" fillId="0" borderId="4" xfId="0" applyFont="1" applyBorder="1" applyAlignment="1">
      <alignment horizontal="center" vertical="center"/>
    </xf>
    <xf numFmtId="0" fontId="11" fillId="0" borderId="16" xfId="0" applyFont="1" applyBorder="1"/>
    <xf numFmtId="0" fontId="84" fillId="57" borderId="7" xfId="0" applyFont="1" applyFill="1" applyBorder="1"/>
    <xf numFmtId="10" fontId="9" fillId="15" borderId="47" xfId="2" applyNumberFormat="1" applyFont="1" applyFill="1" applyBorder="1" applyAlignment="1">
      <alignment horizontal="center"/>
    </xf>
    <xf numFmtId="0" fontId="9" fillId="0" borderId="5" xfId="0" applyFont="1" applyBorder="1"/>
    <xf numFmtId="164" fontId="11" fillId="0" borderId="0" xfId="0" applyNumberFormat="1" applyFont="1" applyBorder="1"/>
    <xf numFmtId="0" fontId="9" fillId="0" borderId="41" xfId="0" applyFont="1" applyBorder="1"/>
    <xf numFmtId="0" fontId="9" fillId="0" borderId="15" xfId="0" applyFont="1" applyBorder="1"/>
    <xf numFmtId="0" fontId="9" fillId="0" borderId="42" xfId="0" applyFont="1" applyBorder="1"/>
    <xf numFmtId="2" fontId="9" fillId="0" borderId="43" xfId="0" applyNumberFormat="1" applyFont="1" applyBorder="1" applyAlignment="1">
      <alignment horizontal="center"/>
    </xf>
    <xf numFmtId="164" fontId="9" fillId="0" borderId="9" xfId="1" applyFont="1" applyBorder="1" applyAlignment="1">
      <alignment horizontal="center"/>
    </xf>
    <xf numFmtId="164" fontId="11" fillId="0" borderId="43" xfId="0" applyNumberFormat="1" applyFont="1" applyBorder="1"/>
    <xf numFmtId="164" fontId="11" fillId="0" borderId="9" xfId="0" applyNumberFormat="1" applyFont="1" applyBorder="1"/>
    <xf numFmtId="164" fontId="11" fillId="0" borderId="44" xfId="0" applyNumberFormat="1" applyFont="1" applyBorder="1"/>
    <xf numFmtId="164" fontId="11" fillId="0" borderId="12" xfId="0" applyNumberFormat="1" applyFont="1" applyBorder="1"/>
    <xf numFmtId="164" fontId="11" fillId="0" borderId="13" xfId="0" applyNumberFormat="1" applyFont="1" applyBorder="1"/>
    <xf numFmtId="0" fontId="9" fillId="0" borderId="45" xfId="0" applyFont="1" applyBorder="1"/>
    <xf numFmtId="0" fontId="9" fillId="0" borderId="46" xfId="0" applyFont="1" applyBorder="1"/>
    <xf numFmtId="0" fontId="9" fillId="0" borderId="47" xfId="0" applyFont="1" applyBorder="1"/>
    <xf numFmtId="164" fontId="9" fillId="0" borderId="15" xfId="0" applyNumberFormat="1" applyFont="1" applyBorder="1"/>
    <xf numFmtId="164" fontId="9" fillId="0" borderId="42" xfId="0" applyNumberFormat="1" applyFont="1" applyBorder="1"/>
    <xf numFmtId="164" fontId="9" fillId="0" borderId="9" xfId="0" applyNumberFormat="1" applyFont="1" applyBorder="1"/>
    <xf numFmtId="164" fontId="9" fillId="0" borderId="12" xfId="0" applyNumberFormat="1" applyFont="1" applyBorder="1"/>
    <xf numFmtId="164" fontId="9" fillId="0" borderId="13" xfId="0" applyNumberFormat="1" applyFont="1" applyBorder="1"/>
    <xf numFmtId="0" fontId="8" fillId="10" borderId="49" xfId="0" applyFont="1" applyFill="1" applyBorder="1" applyAlignment="1">
      <alignment horizontal="center" vertical="center" wrapText="1"/>
    </xf>
    <xf numFmtId="0" fontId="8" fillId="10" borderId="20" xfId="0" applyFont="1" applyFill="1" applyBorder="1" applyAlignment="1">
      <alignment horizontal="center" vertical="center" wrapText="1"/>
    </xf>
    <xf numFmtId="0" fontId="8" fillId="10" borderId="28" xfId="0" applyFont="1" applyFill="1" applyBorder="1" applyAlignment="1">
      <alignment horizontal="center" vertical="center" wrapText="1"/>
    </xf>
    <xf numFmtId="0" fontId="8" fillId="10" borderId="41" xfId="0" applyFont="1" applyFill="1" applyBorder="1" applyAlignment="1">
      <alignment horizontal="center" vertical="center" wrapText="1"/>
    </xf>
    <xf numFmtId="0" fontId="8" fillId="10" borderId="15" xfId="0" applyFont="1" applyFill="1" applyBorder="1" applyAlignment="1">
      <alignment horizontal="center" vertical="center" wrapText="1"/>
    </xf>
    <xf numFmtId="0" fontId="8" fillId="10" borderId="42" xfId="0" applyFont="1" applyFill="1" applyBorder="1" applyAlignment="1">
      <alignment horizontal="center" vertical="center" wrapText="1"/>
    </xf>
    <xf numFmtId="164" fontId="9" fillId="0" borderId="43" xfId="1" applyFont="1" applyBorder="1" applyAlignment="1">
      <alignment horizontal="center"/>
    </xf>
    <xf numFmtId="164" fontId="11" fillId="0" borderId="0" xfId="1" applyFont="1" applyBorder="1" applyAlignment="1">
      <alignment horizontal="center"/>
    </xf>
    <xf numFmtId="164" fontId="9" fillId="0" borderId="44" xfId="1" applyFont="1" applyBorder="1" applyAlignment="1">
      <alignment horizontal="center"/>
    </xf>
    <xf numFmtId="164" fontId="9" fillId="0" borderId="12" xfId="1" applyFont="1" applyBorder="1" applyAlignment="1">
      <alignment horizontal="center"/>
    </xf>
    <xf numFmtId="164" fontId="9" fillId="0" borderId="13" xfId="1" applyFont="1" applyBorder="1" applyAlignment="1">
      <alignment horizontal="center"/>
    </xf>
    <xf numFmtId="0" fontId="9" fillId="0" borderId="49" xfId="0" applyFont="1" applyBorder="1"/>
    <xf numFmtId="0" fontId="9" fillId="0" borderId="20" xfId="0" applyFont="1" applyBorder="1"/>
    <xf numFmtId="0" fontId="9" fillId="0" borderId="28" xfId="0" applyFont="1" applyBorder="1"/>
    <xf numFmtId="0" fontId="9" fillId="0" borderId="41" xfId="1" applyNumberFormat="1" applyFont="1" applyBorder="1"/>
    <xf numFmtId="2" fontId="9" fillId="0" borderId="15" xfId="0" applyNumberFormat="1" applyFont="1" applyBorder="1" applyAlignment="1">
      <alignment horizontal="center"/>
    </xf>
    <xf numFmtId="2" fontId="9" fillId="0" borderId="42" xfId="0" applyNumberFormat="1" applyFont="1" applyBorder="1" applyAlignment="1">
      <alignment horizontal="center"/>
    </xf>
    <xf numFmtId="0" fontId="9" fillId="0" borderId="43" xfId="1" applyNumberFormat="1" applyFont="1" applyBorder="1"/>
    <xf numFmtId="2" fontId="9" fillId="0" borderId="9" xfId="0" applyNumberFormat="1" applyFont="1" applyBorder="1" applyAlignment="1">
      <alignment horizontal="center"/>
    </xf>
    <xf numFmtId="0" fontId="9" fillId="0" borderId="44" xfId="1" applyNumberFormat="1" applyFont="1" applyBorder="1"/>
    <xf numFmtId="2" fontId="9" fillId="0" borderId="12" xfId="0" applyNumberFormat="1" applyFont="1" applyBorder="1" applyAlignment="1">
      <alignment horizontal="center"/>
    </xf>
    <xf numFmtId="2" fontId="9" fillId="0" borderId="13" xfId="0" applyNumberFormat="1" applyFont="1" applyBorder="1" applyAlignment="1">
      <alignment horizontal="center"/>
    </xf>
    <xf numFmtId="9" fontId="56" fillId="5" borderId="19" xfId="0" applyNumberFormat="1" applyFont="1" applyFill="1" applyBorder="1"/>
    <xf numFmtId="9" fontId="9" fillId="0" borderId="19" xfId="0" applyNumberFormat="1" applyFont="1" applyFill="1" applyBorder="1"/>
    <xf numFmtId="0" fontId="8" fillId="10" borderId="41" xfId="0" applyFont="1" applyFill="1" applyBorder="1" applyAlignment="1">
      <alignment horizontal="center" vertical="center"/>
    </xf>
    <xf numFmtId="167" fontId="9" fillId="14" borderId="9" xfId="2" applyNumberFormat="1" applyFont="1" applyFill="1" applyBorder="1"/>
    <xf numFmtId="167" fontId="11" fillId="14" borderId="20" xfId="0" applyNumberFormat="1" applyFont="1" applyFill="1" applyBorder="1"/>
    <xf numFmtId="167" fontId="11" fillId="14" borderId="28" xfId="0" applyNumberFormat="1" applyFont="1" applyFill="1" applyBorder="1"/>
    <xf numFmtId="0" fontId="8" fillId="12" borderId="15" xfId="0" applyFont="1" applyFill="1" applyBorder="1" applyAlignment="1">
      <alignment horizontal="center" vertical="center" wrapText="1"/>
    </xf>
    <xf numFmtId="9" fontId="42" fillId="5" borderId="19" xfId="0" applyNumberFormat="1" applyFont="1" applyFill="1" applyBorder="1"/>
    <xf numFmtId="9" fontId="10" fillId="0" borderId="19" xfId="0" applyNumberFormat="1" applyFont="1" applyFill="1" applyBorder="1"/>
    <xf numFmtId="164" fontId="11" fillId="0" borderId="43" xfId="1" applyFont="1" applyBorder="1" applyAlignment="1">
      <alignment horizontal="center"/>
    </xf>
    <xf numFmtId="0" fontId="0" fillId="0" borderId="44" xfId="0" applyBorder="1"/>
    <xf numFmtId="168" fontId="0" fillId="0" borderId="12" xfId="0" applyNumberFormat="1" applyBorder="1"/>
    <xf numFmtId="0" fontId="9" fillId="0" borderId="0" xfId="0" applyFont="1" applyAlignment="1">
      <alignment horizontal="right"/>
    </xf>
    <xf numFmtId="0" fontId="10" fillId="0" borderId="0" xfId="0" applyFont="1" applyAlignment="1">
      <alignment horizontal="right"/>
    </xf>
    <xf numFmtId="0" fontId="89" fillId="0" borderId="50" xfId="57" applyFont="1" applyFill="1" applyBorder="1" applyAlignment="1">
      <alignment horizontal="center" wrapText="1"/>
    </xf>
    <xf numFmtId="0" fontId="89" fillId="0" borderId="0" xfId="57" applyFont="1" applyFill="1" applyAlignment="1">
      <alignment horizontal="left"/>
    </xf>
    <xf numFmtId="171" fontId="88" fillId="0" borderId="0" xfId="57" applyNumberFormat="1" applyFont="1" applyFill="1" applyAlignment="1">
      <alignment horizontal="right"/>
    </xf>
    <xf numFmtId="0" fontId="0" fillId="0" borderId="0" xfId="0" applyFill="1" applyAlignment="1"/>
    <xf numFmtId="0" fontId="7" fillId="0" borderId="0" xfId="4" applyFill="1" applyAlignment="1"/>
    <xf numFmtId="0" fontId="10" fillId="0" borderId="0" xfId="8" applyFill="1" applyAlignment="1"/>
    <xf numFmtId="0" fontId="38" fillId="0" borderId="0" xfId="3" applyFill="1" applyAlignment="1" applyProtection="1"/>
    <xf numFmtId="0" fontId="38" fillId="0" borderId="0" xfId="3" applyFill="1" applyAlignment="1" applyProtection="1">
      <alignment horizontal="left"/>
    </xf>
    <xf numFmtId="0" fontId="7" fillId="0" borderId="0" xfId="4" applyFill="1" applyAlignment="1">
      <alignment horizontal="left"/>
    </xf>
    <xf numFmtId="0" fontId="32" fillId="0" borderId="10" xfId="0" applyFont="1" applyFill="1" applyBorder="1" applyAlignment="1">
      <alignment horizontal="center" wrapText="1"/>
    </xf>
    <xf numFmtId="2" fontId="28" fillId="0" borderId="10" xfId="0" applyNumberFormat="1" applyFont="1" applyFill="1" applyBorder="1" applyAlignment="1">
      <alignment horizontal="center"/>
    </xf>
    <xf numFmtId="164" fontId="7" fillId="0" borderId="0" xfId="5" applyFont="1" applyFill="1" applyAlignment="1"/>
    <xf numFmtId="0" fontId="86" fillId="0" borderId="0" xfId="57" applyFill="1" applyAlignment="1"/>
    <xf numFmtId="0" fontId="88" fillId="0" borderId="0" xfId="57" applyFont="1" applyFill="1" applyAlignment="1"/>
    <xf numFmtId="171" fontId="89" fillId="0" borderId="0" xfId="57" applyNumberFormat="1" applyFont="1" applyFill="1" applyAlignment="1">
      <alignment horizontal="right"/>
    </xf>
    <xf numFmtId="0" fontId="90" fillId="0" borderId="0" xfId="57" applyFont="1" applyFill="1" applyAlignment="1"/>
    <xf numFmtId="167" fontId="91" fillId="0" borderId="0" xfId="6" applyNumberFormat="1" applyFont="1" applyFill="1" applyAlignment="1"/>
    <xf numFmtId="0" fontId="92" fillId="0" borderId="0" xfId="0" applyFont="1" applyFill="1" applyAlignment="1"/>
    <xf numFmtId="167" fontId="93" fillId="0" borderId="0" xfId="6" applyNumberFormat="1" applyFont="1" applyFill="1" applyAlignment="1"/>
    <xf numFmtId="0" fontId="0" fillId="0" borderId="0" xfId="0" applyFill="1" applyAlignment="1">
      <alignment horizontal="center"/>
    </xf>
    <xf numFmtId="0" fontId="93" fillId="0" borderId="0" xfId="4" applyFont="1" applyFill="1" applyAlignment="1">
      <alignment horizontal="center"/>
    </xf>
    <xf numFmtId="0" fontId="7" fillId="0" borderId="0" xfId="4" applyFill="1" applyAlignment="1">
      <alignment horizontal="center"/>
    </xf>
    <xf numFmtId="0" fontId="9" fillId="0" borderId="0" xfId="0" applyFont="1" applyBorder="1" applyAlignment="1">
      <alignment horizontal="center" vertical="center"/>
    </xf>
    <xf numFmtId="0" fontId="12" fillId="0" borderId="0" xfId="0" applyFont="1" applyFill="1"/>
    <xf numFmtId="0" fontId="11" fillId="0" borderId="0" xfId="0" applyFont="1" applyFill="1"/>
    <xf numFmtId="0" fontId="84" fillId="0" borderId="0" xfId="0" applyFont="1" applyFill="1"/>
    <xf numFmtId="164" fontId="0" fillId="0" borderId="0" xfId="1" applyFont="1"/>
    <xf numFmtId="2" fontId="9" fillId="0" borderId="51" xfId="0" applyNumberFormat="1" applyFont="1" applyBorder="1" applyAlignment="1">
      <alignment horizontal="center"/>
    </xf>
    <xf numFmtId="0" fontId="11" fillId="3" borderId="1" xfId="0" applyFont="1" applyFill="1" applyBorder="1"/>
    <xf numFmtId="0" fontId="11" fillId="3" borderId="2" xfId="0" applyFont="1" applyFill="1" applyBorder="1"/>
    <xf numFmtId="0" fontId="11" fillId="3" borderId="3" xfId="0" applyFont="1" applyFill="1" applyBorder="1"/>
    <xf numFmtId="10" fontId="9" fillId="15" borderId="52" xfId="2" applyNumberFormat="1" applyFont="1" applyFill="1" applyBorder="1" applyAlignment="1">
      <alignment horizontal="center"/>
    </xf>
    <xf numFmtId="167" fontId="11" fillId="15" borderId="20" xfId="2" applyNumberFormat="1" applyFont="1" applyFill="1" applyBorder="1" applyAlignment="1">
      <alignment horizontal="center" vertical="center"/>
    </xf>
    <xf numFmtId="10" fontId="9" fillId="0" borderId="0" xfId="0" applyNumberFormat="1" applyFont="1"/>
    <xf numFmtId="0" fontId="10" fillId="13" borderId="0" xfId="0" applyFont="1" applyFill="1"/>
    <xf numFmtId="2" fontId="28" fillId="13" borderId="10" xfId="0" applyNumberFormat="1" applyFont="1" applyFill="1" applyBorder="1" applyAlignment="1">
      <alignment horizontal="center"/>
    </xf>
    <xf numFmtId="0" fontId="77" fillId="13" borderId="0" xfId="8" applyFont="1" applyFill="1"/>
    <xf numFmtId="0" fontId="78" fillId="13" borderId="0" xfId="8" applyFont="1" applyFill="1" applyBorder="1"/>
    <xf numFmtId="0" fontId="60" fillId="52" borderId="4" xfId="8" applyFont="1" applyFill="1" applyBorder="1"/>
    <xf numFmtId="0" fontId="77" fillId="0" borderId="0" xfId="8" applyFont="1" applyBorder="1"/>
    <xf numFmtId="0" fontId="59" fillId="13" borderId="0" xfId="8" applyFont="1" applyFill="1" applyBorder="1"/>
    <xf numFmtId="0" fontId="60" fillId="57" borderId="4" xfId="8" applyFont="1" applyFill="1" applyBorder="1"/>
    <xf numFmtId="0" fontId="59" fillId="57" borderId="0" xfId="8" applyFont="1" applyFill="1" applyBorder="1"/>
    <xf numFmtId="0" fontId="59" fillId="57" borderId="5" xfId="8" applyFont="1" applyFill="1" applyBorder="1"/>
    <xf numFmtId="0" fontId="9" fillId="0" borderId="6" xfId="0" applyFont="1" applyBorder="1" applyAlignment="1">
      <alignment horizontal="center"/>
    </xf>
    <xf numFmtId="2" fontId="9" fillId="0" borderId="53" xfId="0" applyNumberFormat="1" applyFont="1" applyBorder="1" applyAlignment="1">
      <alignment horizontal="center"/>
    </xf>
    <xf numFmtId="0" fontId="12" fillId="13" borderId="0" xfId="0" applyFont="1" applyFill="1"/>
    <xf numFmtId="9" fontId="9" fillId="13" borderId="0" xfId="2" applyFont="1" applyFill="1"/>
    <xf numFmtId="9" fontId="9" fillId="13" borderId="0" xfId="0" applyNumberFormat="1" applyFont="1" applyFill="1"/>
    <xf numFmtId="0" fontId="84" fillId="13" borderId="0" xfId="0" applyFont="1" applyFill="1"/>
    <xf numFmtId="167" fontId="9" fillId="13" borderId="0" xfId="0" applyNumberFormat="1" applyFont="1" applyFill="1"/>
    <xf numFmtId="0" fontId="8" fillId="13" borderId="0" xfId="0" applyFont="1" applyFill="1" applyBorder="1" applyAlignment="1">
      <alignment horizontal="center"/>
    </xf>
    <xf numFmtId="0" fontId="9" fillId="13" borderId="0" xfId="0" applyFont="1" applyFill="1" applyBorder="1" applyAlignment="1">
      <alignment horizontal="center"/>
    </xf>
    <xf numFmtId="165" fontId="95" fillId="11" borderId="0" xfId="1" applyNumberFormat="1" applyFont="1" applyFill="1" applyAlignment="1">
      <alignment horizontal="center" vertical="center"/>
    </xf>
    <xf numFmtId="165" fontId="95" fillId="12" borderId="0" xfId="1" applyNumberFormat="1" applyFont="1" applyFill="1" applyAlignment="1">
      <alignment horizontal="center" vertical="center"/>
    </xf>
    <xf numFmtId="165" fontId="95" fillId="12" borderId="0" xfId="0" applyNumberFormat="1" applyFont="1" applyFill="1" applyAlignment="1">
      <alignment horizontal="center" vertical="center"/>
    </xf>
    <xf numFmtId="165" fontId="95" fillId="11" borderId="0" xfId="0" applyNumberFormat="1" applyFont="1" applyFill="1" applyAlignment="1">
      <alignment horizontal="center" vertical="center"/>
    </xf>
    <xf numFmtId="165" fontId="95" fillId="58" borderId="0" xfId="1" applyNumberFormat="1" applyFont="1" applyFill="1" applyBorder="1" applyAlignment="1">
      <alignment horizontal="center" vertical="center"/>
    </xf>
    <xf numFmtId="9" fontId="95" fillId="0" borderId="0" xfId="2" applyFont="1" applyAlignment="1">
      <alignment horizontal="center" vertical="center"/>
    </xf>
    <xf numFmtId="9" fontId="96" fillId="0" borderId="0" xfId="2" applyFont="1"/>
    <xf numFmtId="9" fontId="96" fillId="0" borderId="0" xfId="0" applyNumberFormat="1" applyFont="1"/>
    <xf numFmtId="9" fontId="97" fillId="0" borderId="0" xfId="2" applyFont="1" applyAlignment="1">
      <alignment horizontal="center" vertical="center"/>
    </xf>
    <xf numFmtId="0" fontId="98" fillId="0" borderId="0" xfId="0" applyFont="1"/>
    <xf numFmtId="9" fontId="97" fillId="13" borderId="0" xfId="2" applyFont="1" applyFill="1" applyAlignment="1">
      <alignment horizontal="center" vertical="center"/>
    </xf>
    <xf numFmtId="9" fontId="98" fillId="0" borderId="0" xfId="2" applyFont="1" applyAlignment="1">
      <alignment horizontal="center"/>
    </xf>
    <xf numFmtId="0" fontId="99" fillId="8" borderId="10" xfId="0" applyFont="1" applyFill="1" applyBorder="1" applyAlignment="1">
      <alignment vertical="top"/>
    </xf>
    <xf numFmtId="4" fontId="99" fillId="8" borderId="10" xfId="0" applyNumberFormat="1" applyFont="1" applyFill="1" applyBorder="1" applyAlignment="1">
      <alignment vertical="top"/>
    </xf>
    <xf numFmtId="0" fontId="99" fillId="9" borderId="10" xfId="0" applyFont="1" applyFill="1" applyBorder="1" applyAlignment="1">
      <alignment vertical="top"/>
    </xf>
    <xf numFmtId="0" fontId="99" fillId="9" borderId="0" xfId="0" applyNumberFormat="1" applyFont="1" applyFill="1" applyBorder="1" applyAlignment="1">
      <alignment vertical="top"/>
    </xf>
    <xf numFmtId="4" fontId="99" fillId="9" borderId="0" xfId="0" applyNumberFormat="1" applyFont="1" applyFill="1" applyBorder="1" applyAlignment="1">
      <alignment vertical="top"/>
    </xf>
    <xf numFmtId="0" fontId="76" fillId="14" borderId="1" xfId="85" applyFont="1" applyFill="1" applyBorder="1"/>
    <xf numFmtId="0" fontId="81" fillId="13" borderId="0" xfId="8" applyFont="1" applyFill="1" applyBorder="1" applyAlignment="1">
      <alignment horizontal="left"/>
    </xf>
    <xf numFmtId="0" fontId="81" fillId="13" borderId="4" xfId="8" applyFont="1" applyFill="1" applyBorder="1" applyAlignment="1">
      <alignment horizontal="right"/>
    </xf>
    <xf numFmtId="0" fontId="81" fillId="13" borderId="0" xfId="8" applyFont="1" applyFill="1" applyBorder="1" applyAlignment="1">
      <alignment horizontal="right"/>
    </xf>
    <xf numFmtId="0" fontId="84" fillId="13" borderId="0" xfId="0" applyFont="1" applyFill="1" applyBorder="1"/>
    <xf numFmtId="0" fontId="11" fillId="13" borderId="0" xfId="0" applyFont="1" applyFill="1" applyBorder="1"/>
    <xf numFmtId="165" fontId="104" fillId="13" borderId="0" xfId="1" applyNumberFormat="1" applyFont="1" applyFill="1" applyAlignment="1">
      <alignment horizontal="center" vertical="center"/>
    </xf>
    <xf numFmtId="165" fontId="104" fillId="0" borderId="0" xfId="1" applyNumberFormat="1" applyFont="1" applyAlignment="1">
      <alignment horizontal="center" vertical="center"/>
    </xf>
    <xf numFmtId="0" fontId="99" fillId="8" borderId="11" xfId="0" applyFont="1" applyFill="1" applyBorder="1" applyAlignment="1">
      <alignment vertical="top"/>
    </xf>
    <xf numFmtId="0" fontId="99" fillId="8" borderId="14" xfId="0" applyFont="1" applyFill="1" applyBorder="1" applyAlignment="1">
      <alignment vertical="top"/>
    </xf>
    <xf numFmtId="0" fontId="105" fillId="9" borderId="10" xfId="0" applyFont="1" applyFill="1" applyBorder="1" applyAlignment="1">
      <alignment vertical="top"/>
    </xf>
    <xf numFmtId="2" fontId="105" fillId="8" borderId="10" xfId="0" applyNumberFormat="1" applyFont="1" applyFill="1" applyBorder="1" applyAlignment="1">
      <alignment vertical="top"/>
    </xf>
    <xf numFmtId="167" fontId="9" fillId="14" borderId="0" xfId="0" applyNumberFormat="1" applyFont="1" applyFill="1" applyAlignment="1">
      <alignment horizontal="center" vertical="center"/>
    </xf>
    <xf numFmtId="170" fontId="58" fillId="13" borderId="0" xfId="4" applyNumberFormat="1" applyFont="1" applyFill="1" applyAlignment="1">
      <alignment horizontal="center"/>
    </xf>
    <xf numFmtId="0" fontId="57" fillId="13" borderId="0" xfId="0" applyFont="1" applyFill="1" applyAlignment="1">
      <alignment horizontal="center"/>
    </xf>
    <xf numFmtId="0" fontId="61" fillId="13" borderId="0" xfId="0" applyFont="1" applyFill="1" applyAlignment="1">
      <alignment horizontal="center"/>
    </xf>
    <xf numFmtId="170" fontId="58" fillId="13" borderId="0" xfId="0" applyNumberFormat="1" applyFont="1" applyFill="1" applyAlignment="1">
      <alignment horizontal="center"/>
    </xf>
    <xf numFmtId="15" fontId="58" fillId="13" borderId="0" xfId="0" applyNumberFormat="1" applyFont="1" applyFill="1" applyAlignment="1">
      <alignment horizontal="center"/>
    </xf>
    <xf numFmtId="0" fontId="58" fillId="13" borderId="0" xfId="0" applyFont="1" applyFill="1" applyAlignment="1">
      <alignment horizontal="center"/>
    </xf>
    <xf numFmtId="0" fontId="43" fillId="16" borderId="21" xfId="0" applyFont="1" applyFill="1" applyBorder="1" applyAlignment="1">
      <alignment horizontal="center" vertical="top" wrapText="1"/>
    </xf>
    <xf numFmtId="0" fontId="43" fillId="16" borderId="22" xfId="0" applyFont="1" applyFill="1" applyBorder="1" applyAlignment="1">
      <alignment horizontal="center" vertical="top" wrapText="1"/>
    </xf>
    <xf numFmtId="0" fontId="43" fillId="16" borderId="23" xfId="0" applyFont="1" applyFill="1" applyBorder="1" applyAlignment="1">
      <alignment horizontal="center" vertical="top" wrapText="1"/>
    </xf>
    <xf numFmtId="0" fontId="8" fillId="10" borderId="48" xfId="0" applyFont="1" applyFill="1" applyBorder="1" applyAlignment="1">
      <alignment horizontal="center" vertical="center" wrapText="1"/>
    </xf>
    <xf numFmtId="0" fontId="0" fillId="0" borderId="48" xfId="0" applyBorder="1" applyAlignment="1">
      <alignment horizontal="center" vertical="center" wrapText="1"/>
    </xf>
    <xf numFmtId="0" fontId="9" fillId="14" borderId="0" xfId="0" applyFont="1" applyFill="1" applyAlignment="1">
      <alignment horizontal="center"/>
    </xf>
    <xf numFmtId="0" fontId="87" fillId="0" borderId="0" xfId="57" applyFont="1" applyFill="1" applyAlignment="1">
      <alignment horizontal="left"/>
    </xf>
    <xf numFmtId="0" fontId="86" fillId="0" borderId="0" xfId="57" applyFill="1" applyAlignment="1"/>
    <xf numFmtId="0" fontId="32" fillId="0" borderId="11" xfId="0" applyFont="1" applyFill="1" applyBorder="1" applyAlignment="1">
      <alignment horizontal="center" wrapText="1"/>
    </xf>
    <xf numFmtId="0" fontId="0" fillId="0" borderId="14" xfId="0" applyFill="1" applyBorder="1" applyAlignment="1"/>
    <xf numFmtId="0" fontId="52" fillId="0" borderId="0" xfId="8" applyFont="1" applyFill="1" applyAlignment="1"/>
    <xf numFmtId="0" fontId="10" fillId="0" borderId="0" xfId="8" applyFill="1" applyAlignment="1"/>
    <xf numFmtId="0" fontId="53" fillId="0" borderId="0" xfId="8" applyFont="1" applyFill="1" applyAlignment="1"/>
  </cellXfs>
  <cellStyles count="86">
    <cellStyle name="20% - Accent1" xfId="29" builtinId="30" customBuiltin="1"/>
    <cellStyle name="20% - Accent1 2" xfId="59"/>
    <cellStyle name="20% - Accent2" xfId="33" builtinId="34" customBuiltin="1"/>
    <cellStyle name="20% - Accent2 2" xfId="61"/>
    <cellStyle name="20% - Accent3" xfId="37" builtinId="38" customBuiltin="1"/>
    <cellStyle name="20% - Accent3 2" xfId="63"/>
    <cellStyle name="20% - Accent4" xfId="41" builtinId="42" customBuiltin="1"/>
    <cellStyle name="20% - Accent4 2" xfId="65"/>
    <cellStyle name="20% - Accent5" xfId="45" builtinId="46" customBuiltin="1"/>
    <cellStyle name="20% - Accent5 2" xfId="67"/>
    <cellStyle name="20% - Accent6" xfId="49" builtinId="50" customBuiltin="1"/>
    <cellStyle name="20% - Accent6 2" xfId="69"/>
    <cellStyle name="40% - Accent1" xfId="30" builtinId="31" customBuiltin="1"/>
    <cellStyle name="40% - Accent1 2" xfId="60"/>
    <cellStyle name="40% - Accent2" xfId="34" builtinId="35" customBuiltin="1"/>
    <cellStyle name="40% - Accent2 2" xfId="62"/>
    <cellStyle name="40% - Accent3" xfId="38" builtinId="39" customBuiltin="1"/>
    <cellStyle name="40% - Accent3 2" xfId="64"/>
    <cellStyle name="40% - Accent4" xfId="42" builtinId="43" customBuiltin="1"/>
    <cellStyle name="40% - Accent4 2" xfId="66"/>
    <cellStyle name="40% - Accent5" xfId="46" builtinId="47" customBuiltin="1"/>
    <cellStyle name="40% - Accent5 2" xfId="68"/>
    <cellStyle name="40% - Accent6" xfId="50" builtinId="51" customBuiltin="1"/>
    <cellStyle name="40% - Accent6 2" xfId="70"/>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8" builtinId="27" customBuiltin="1"/>
    <cellStyle name="Calculation" xfId="22" builtinId="22" customBuiltin="1"/>
    <cellStyle name="Check Cell" xfId="24" builtinId="23" customBuiltin="1"/>
    <cellStyle name="Comma" xfId="1" builtinId="3"/>
    <cellStyle name="Comma 2" xfId="5"/>
    <cellStyle name="Comma 2 2" xfId="75"/>
    <cellStyle name="Comma 3" xfId="11"/>
    <cellStyle name="Comma 4" xfId="53"/>
    <cellStyle name="Comma 4 2" xfId="79"/>
    <cellStyle name="Comma 5" xfId="72"/>
    <cellStyle name="Explanatory Text" xfId="26"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Hyperlink" xfId="3" builtinId="8"/>
    <cellStyle name="Hyperlink 2" xfId="7"/>
    <cellStyle name="Input" xfId="20" builtinId="20" customBuiltin="1"/>
    <cellStyle name="Linked Cell" xfId="23" builtinId="24" customBuiltin="1"/>
    <cellStyle name="Neutral" xfId="19" builtinId="28" customBuiltin="1"/>
    <cellStyle name="Normal" xfId="0" builtinId="0"/>
    <cellStyle name="Normal 2" xfId="4"/>
    <cellStyle name="Normal 2 2" xfId="55"/>
    <cellStyle name="Normal 2 2 2" xfId="81"/>
    <cellStyle name="Normal 2 2 3" xfId="84"/>
    <cellStyle name="Normal 2 2 4" xfId="85"/>
    <cellStyle name="Normal 2 3" xfId="74"/>
    <cellStyle name="Normal 3" xfId="8"/>
    <cellStyle name="Normal 4" xfId="9"/>
    <cellStyle name="Normal 5" xfId="52"/>
    <cellStyle name="Normal 5 2" xfId="78"/>
    <cellStyle name="Normal 5 3" xfId="83"/>
    <cellStyle name="Normal 6" xfId="56"/>
    <cellStyle name="Normal 6 2" xfId="82"/>
    <cellStyle name="Normal 7" xfId="57"/>
    <cellStyle name="Normal 8" xfId="71"/>
    <cellStyle name="Normal 9" xfId="58"/>
    <cellStyle name="Note 2" xfId="54"/>
    <cellStyle name="Note 2 2" xfId="80"/>
    <cellStyle name="Output" xfId="21" builtinId="21" customBuiltin="1"/>
    <cellStyle name="Percent" xfId="2" builtinId="5"/>
    <cellStyle name="Percent 2" xfId="6"/>
    <cellStyle name="Percent 2 2" xfId="76"/>
    <cellStyle name="Percent 3" xfId="10"/>
    <cellStyle name="Percent 3 2" xfId="77"/>
    <cellStyle name="Percent 4" xfId="73"/>
    <cellStyle name="Title" xfId="12" builtinId="15" customBuiltin="1"/>
    <cellStyle name="Total" xfId="27" builtinId="25" customBuiltin="1"/>
    <cellStyle name="Warning Text" xfId="25" builtinId="11"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13</xdr:row>
      <xdr:rowOff>57150</xdr:rowOff>
    </xdr:from>
    <xdr:to>
      <xdr:col>7</xdr:col>
      <xdr:colOff>80102</xdr:colOff>
      <xdr:row>18</xdr:row>
      <xdr:rowOff>81684</xdr:rowOff>
    </xdr:to>
    <xdr:pic>
      <xdr:nvPicPr>
        <xdr:cNvPr id="2" name="Picture 1" descr="LEI Logo.tif"/>
        <xdr:cNvPicPr>
          <a:picLocks noChangeAspect="1"/>
        </xdr:cNvPicPr>
      </xdr:nvPicPr>
      <xdr:blipFill>
        <a:blip xmlns:r="http://schemas.openxmlformats.org/officeDocument/2006/relationships" r:embed="rId1" cstate="print"/>
        <a:stretch>
          <a:fillRect/>
        </a:stretch>
      </xdr:blipFill>
      <xdr:spPr>
        <a:xfrm>
          <a:off x="3429000" y="2676525"/>
          <a:ext cx="651602" cy="9294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1</xdr:row>
      <xdr:rowOff>66675</xdr:rowOff>
    </xdr:from>
    <xdr:to>
      <xdr:col>0</xdr:col>
      <xdr:colOff>171450</xdr:colOff>
      <xdr:row>3</xdr:row>
      <xdr:rowOff>123825</xdr:rowOff>
    </xdr:to>
    <xdr:sp macro="" textlink="">
      <xdr:nvSpPr>
        <xdr:cNvPr id="2" name="Down Arrow 1"/>
        <xdr:cNvSpPr/>
      </xdr:nvSpPr>
      <xdr:spPr>
        <a:xfrm>
          <a:off x="47625" y="266700"/>
          <a:ext cx="123825" cy="419100"/>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1.bin"/><Relationship Id="rId1" Type="http://schemas.openxmlformats.org/officeDocument/2006/relationships/hyperlink" Target="http://www5.statcan.gc.ca/cansim/a03?searchTypeByValue=1&amp;lang=eng&amp;pattern=2810063"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data.bls.gov/timeseries/CIU2024400000000I" TargetMode="External"/><Relationship Id="rId1" Type="http://schemas.openxmlformats.org/officeDocument/2006/relationships/hyperlink" Target="http://www.bea.gov/iTable/iTable.cfm?ReqID=9&amp;step=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24"/>
  <sheetViews>
    <sheetView showGridLines="0" tabSelected="1" view="pageLayout" zoomScaleNormal="100" workbookViewId="0">
      <selection activeCell="A2" sqref="A2"/>
    </sheetView>
  </sheetViews>
  <sheetFormatPr defaultRowHeight="13.5"/>
  <cols>
    <col min="1" max="13" width="8.5703125" style="1" customWidth="1"/>
    <col min="14" max="16384" width="9.140625" style="1"/>
  </cols>
  <sheetData>
    <row r="3" spans="1:13" ht="20.25">
      <c r="A3" s="419" t="s">
        <v>254</v>
      </c>
      <c r="B3" s="419"/>
      <c r="C3" s="419"/>
      <c r="D3" s="419"/>
      <c r="E3" s="419"/>
      <c r="F3" s="419"/>
      <c r="G3" s="419"/>
      <c r="H3" s="419"/>
      <c r="I3" s="419"/>
      <c r="J3" s="419"/>
      <c r="K3" s="419"/>
      <c r="L3" s="419"/>
      <c r="M3" s="419"/>
    </row>
    <row r="4" spans="1:13" ht="15.75">
      <c r="A4" s="422"/>
      <c r="B4" s="423"/>
      <c r="C4" s="423"/>
      <c r="D4" s="423"/>
      <c r="E4" s="423"/>
      <c r="F4" s="423"/>
      <c r="G4" s="423"/>
      <c r="H4" s="423"/>
      <c r="I4" s="423"/>
      <c r="J4" s="423"/>
      <c r="K4" s="423"/>
      <c r="L4" s="423"/>
      <c r="M4" s="423"/>
    </row>
    <row r="5" spans="1:13" ht="16.5">
      <c r="A5" s="182"/>
      <c r="B5" s="183"/>
      <c r="C5" s="183"/>
      <c r="D5" s="183"/>
      <c r="E5" s="183"/>
      <c r="F5" s="183"/>
      <c r="G5" s="183"/>
      <c r="H5" s="183"/>
      <c r="I5" s="183"/>
      <c r="J5" s="183"/>
      <c r="K5" s="182"/>
      <c r="L5" s="182"/>
      <c r="M5" s="182"/>
    </row>
    <row r="6" spans="1:13" ht="15.75">
      <c r="A6" s="420" t="s">
        <v>251</v>
      </c>
      <c r="B6" s="420"/>
      <c r="C6" s="420"/>
      <c r="D6" s="420"/>
      <c r="E6" s="420"/>
      <c r="F6" s="420"/>
      <c r="G6" s="420"/>
      <c r="H6" s="420"/>
      <c r="I6" s="420"/>
      <c r="J6" s="420"/>
      <c r="K6" s="420"/>
      <c r="L6" s="420"/>
      <c r="M6" s="420"/>
    </row>
    <row r="7" spans="1:13" ht="15.75">
      <c r="A7" s="420" t="s">
        <v>252</v>
      </c>
      <c r="B7" s="420"/>
      <c r="C7" s="420"/>
      <c r="D7" s="420"/>
      <c r="E7" s="420"/>
      <c r="F7" s="420"/>
      <c r="G7" s="420"/>
      <c r="H7" s="420"/>
      <c r="I7" s="420"/>
      <c r="J7" s="420"/>
      <c r="K7" s="420"/>
      <c r="L7" s="420"/>
      <c r="M7" s="420"/>
    </row>
    <row r="8" spans="1:13" ht="15.75">
      <c r="A8" s="420" t="s">
        <v>253</v>
      </c>
      <c r="B8" s="420"/>
      <c r="C8" s="420"/>
      <c r="D8" s="420"/>
      <c r="E8" s="420"/>
      <c r="F8" s="420"/>
      <c r="G8" s="420"/>
      <c r="H8" s="420"/>
      <c r="I8" s="420"/>
      <c r="J8" s="420"/>
      <c r="K8" s="420"/>
      <c r="L8" s="420"/>
      <c r="M8" s="420"/>
    </row>
    <row r="9" spans="1:13" ht="15.75">
      <c r="A9" s="189"/>
      <c r="B9" s="189"/>
      <c r="C9" s="189"/>
      <c r="D9" s="189"/>
      <c r="E9" s="189"/>
      <c r="F9" s="189"/>
      <c r="G9" s="189"/>
      <c r="H9" s="189"/>
      <c r="I9" s="189"/>
      <c r="J9" s="189"/>
      <c r="K9" s="189"/>
      <c r="L9" s="189"/>
      <c r="M9" s="189"/>
    </row>
    <row r="10" spans="1:13" ht="15.75">
      <c r="A10" s="420" t="s">
        <v>249</v>
      </c>
      <c r="B10" s="420"/>
      <c r="C10" s="420"/>
      <c r="D10" s="420"/>
      <c r="E10" s="420"/>
      <c r="F10" s="420"/>
      <c r="G10" s="420"/>
      <c r="H10" s="420"/>
      <c r="I10" s="420"/>
      <c r="J10" s="420"/>
      <c r="K10" s="420"/>
      <c r="L10" s="420"/>
      <c r="M10" s="420"/>
    </row>
    <row r="11" spans="1:13" ht="15.75">
      <c r="A11" s="420" t="s">
        <v>250</v>
      </c>
      <c r="B11" s="420"/>
      <c r="C11" s="420"/>
      <c r="D11" s="420"/>
      <c r="E11" s="420"/>
      <c r="F11" s="420"/>
      <c r="G11" s="420"/>
      <c r="H11" s="420"/>
      <c r="I11" s="420"/>
      <c r="J11" s="420"/>
      <c r="K11" s="420"/>
      <c r="L11" s="420"/>
      <c r="M11" s="420"/>
    </row>
    <row r="12" spans="1:13" ht="15.75">
      <c r="A12" s="420" t="s">
        <v>310</v>
      </c>
      <c r="B12" s="420"/>
      <c r="C12" s="420"/>
      <c r="D12" s="420"/>
      <c r="E12" s="420"/>
      <c r="F12" s="420"/>
      <c r="G12" s="420"/>
      <c r="H12" s="420"/>
      <c r="I12" s="420"/>
      <c r="J12" s="420"/>
      <c r="K12" s="420"/>
      <c r="L12" s="420"/>
      <c r="M12" s="420"/>
    </row>
    <row r="13" spans="1:13" ht="16.5">
      <c r="A13" s="182"/>
      <c r="B13" s="182"/>
      <c r="C13" s="182"/>
      <c r="D13" s="182"/>
      <c r="E13" s="182"/>
      <c r="F13" s="182"/>
      <c r="G13" s="182"/>
      <c r="H13" s="182"/>
      <c r="I13" s="182"/>
      <c r="J13" s="182"/>
      <c r="K13" s="182"/>
      <c r="L13" s="182"/>
      <c r="M13" s="182"/>
    </row>
    <row r="14" spans="1:13" ht="15.75">
      <c r="A14" s="421"/>
      <c r="B14" s="421"/>
      <c r="C14" s="421"/>
      <c r="D14" s="421"/>
      <c r="E14" s="421"/>
      <c r="F14" s="421"/>
      <c r="G14" s="421"/>
      <c r="H14" s="421"/>
      <c r="I14" s="421"/>
      <c r="J14" s="421"/>
      <c r="K14" s="421"/>
      <c r="L14" s="421"/>
      <c r="M14" s="421"/>
    </row>
    <row r="16" spans="1:13" ht="15">
      <c r="C16" s="181"/>
      <c r="E16" s="181"/>
    </row>
    <row r="20" spans="1:13" ht="15.75">
      <c r="A20" s="418">
        <v>42384</v>
      </c>
      <c r="B20" s="418"/>
      <c r="C20" s="418"/>
      <c r="D20" s="418"/>
      <c r="E20" s="418"/>
      <c r="F20" s="418"/>
      <c r="G20" s="418"/>
      <c r="H20" s="418"/>
      <c r="I20" s="418"/>
      <c r="J20" s="418"/>
      <c r="K20" s="418"/>
      <c r="L20" s="418"/>
      <c r="M20" s="418"/>
    </row>
    <row r="21" spans="1:13">
      <c r="F21" s="190"/>
    </row>
    <row r="24" spans="1:13" ht="15">
      <c r="C24" s="181"/>
    </row>
  </sheetData>
  <mergeCells count="10">
    <mergeCell ref="A20:M20"/>
    <mergeCell ref="A3:M3"/>
    <mergeCell ref="A10:M10"/>
    <mergeCell ref="A14:M14"/>
    <mergeCell ref="A6:M6"/>
    <mergeCell ref="A7:M7"/>
    <mergeCell ref="A8:M8"/>
    <mergeCell ref="A4:M4"/>
    <mergeCell ref="A11:M11"/>
    <mergeCell ref="A12:M12"/>
  </mergeCells>
  <pageMargins left="0.7" right="0.7" top="0.75" bottom="0.75" header="0.3" footer="0.3"/>
  <pageSetup orientation="landscape" r:id="rId1"/>
  <headerFooter>
    <oddHeader>&amp;CFiled: 2016-10-26, EB-2016-0152
Exhibit L, Tab 11.1, Schedule 1 Staff-246
Attachment 2</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2:G36"/>
  <sheetViews>
    <sheetView showGridLines="0" tabSelected="1" view="pageLayout" zoomScaleNormal="100" workbookViewId="0">
      <selection activeCell="A2" sqref="A2"/>
    </sheetView>
  </sheetViews>
  <sheetFormatPr defaultRowHeight="12.75"/>
  <cols>
    <col min="1" max="1" width="2.85546875" customWidth="1"/>
    <col min="2" max="2" width="16.7109375" customWidth="1"/>
    <col min="3" max="7" width="23.7109375" customWidth="1"/>
  </cols>
  <sheetData>
    <row r="2" spans="2:7" ht="15">
      <c r="B2" s="128" t="s">
        <v>152</v>
      </c>
    </row>
    <row r="3" spans="2:7" ht="15">
      <c r="B3" s="129"/>
      <c r="C3" s="130" t="s">
        <v>25</v>
      </c>
      <c r="D3" s="130" t="s">
        <v>29</v>
      </c>
      <c r="E3" s="130" t="s">
        <v>30</v>
      </c>
      <c r="F3" s="130" t="s">
        <v>153</v>
      </c>
      <c r="G3" s="130" t="s">
        <v>154</v>
      </c>
    </row>
    <row r="4" spans="2:7" ht="13.5">
      <c r="B4" s="14">
        <v>2002</v>
      </c>
      <c r="C4" s="393">
        <v>0.66777544865887539</v>
      </c>
      <c r="D4" s="393">
        <v>0.92625556472316284</v>
      </c>
      <c r="E4" s="393">
        <v>7.3744435276837161E-2</v>
      </c>
      <c r="F4" s="394">
        <v>4.9244723353085336E-2</v>
      </c>
      <c r="G4" s="395">
        <v>2.4499711923751825E-2</v>
      </c>
    </row>
    <row r="5" spans="2:7" ht="13.5">
      <c r="B5" s="14">
        <v>2003</v>
      </c>
      <c r="C5" s="393">
        <v>0.64380931674316244</v>
      </c>
      <c r="D5" s="393">
        <v>0.93768893688286992</v>
      </c>
      <c r="E5" s="393">
        <v>6.2311063117130083E-2</v>
      </c>
      <c r="F5" s="394">
        <v>4.0116442970979591E-2</v>
      </c>
      <c r="G5" s="395">
        <v>2.2194620146150493E-2</v>
      </c>
    </row>
    <row r="6" spans="2:7" ht="13.5">
      <c r="B6" s="14">
        <v>2004</v>
      </c>
      <c r="C6" s="393">
        <v>0.66873352371759109</v>
      </c>
      <c r="D6" s="393">
        <v>0.92941067353388684</v>
      </c>
      <c r="E6" s="393">
        <v>7.0589326466113156E-2</v>
      </c>
      <c r="F6" s="394">
        <v>4.7205449024535266E-2</v>
      </c>
      <c r="G6" s="395">
        <v>2.338387744157789E-2</v>
      </c>
    </row>
    <row r="7" spans="2:7" ht="13.5">
      <c r="B7" s="14">
        <v>2005</v>
      </c>
      <c r="C7" s="393">
        <v>0.64248587164757964</v>
      </c>
      <c r="D7" s="393">
        <v>0.92311591150972294</v>
      </c>
      <c r="E7" s="393">
        <v>7.6884088490277058E-2</v>
      </c>
      <c r="F7" s="394">
        <v>4.9396940609505301E-2</v>
      </c>
      <c r="G7" s="395">
        <v>2.7487147880771758E-2</v>
      </c>
    </row>
    <row r="8" spans="2:7" ht="13.5">
      <c r="B8" s="14">
        <v>2006</v>
      </c>
      <c r="C8" s="393">
        <v>0.64289946281338795</v>
      </c>
      <c r="D8" s="393">
        <v>0.88951578051269919</v>
      </c>
      <c r="E8" s="393">
        <v>0.11048421948730081</v>
      </c>
      <c r="F8" s="394">
        <v>7.1030245357742133E-2</v>
      </c>
      <c r="G8" s="395">
        <v>3.9453974129558672E-2</v>
      </c>
    </row>
    <row r="9" spans="2:7" ht="13.5">
      <c r="B9" s="14">
        <v>2007</v>
      </c>
      <c r="C9" s="393">
        <v>0.64393380123538724</v>
      </c>
      <c r="D9" s="393">
        <v>0.88103780657756037</v>
      </c>
      <c r="E9" s="393">
        <v>0.11896219342243963</v>
      </c>
      <c r="F9" s="394">
        <v>7.6603777413810928E-2</v>
      </c>
      <c r="G9" s="395">
        <v>4.2358416008628705E-2</v>
      </c>
    </row>
    <row r="10" spans="2:7" ht="13.5">
      <c r="B10" s="14">
        <v>2008</v>
      </c>
      <c r="C10" s="393">
        <v>0.594935946766188</v>
      </c>
      <c r="D10" s="393">
        <v>0.8859597182500708</v>
      </c>
      <c r="E10" s="393">
        <v>0.1140402817499292</v>
      </c>
      <c r="F10" s="394">
        <v>6.784666299237696E-2</v>
      </c>
      <c r="G10" s="395">
        <v>4.6193618757552235E-2</v>
      </c>
    </row>
    <row r="11" spans="2:7" ht="13.5">
      <c r="B11" s="14">
        <v>2009</v>
      </c>
      <c r="C11" s="393">
        <v>0.61660866967782046</v>
      </c>
      <c r="D11" s="393">
        <v>0.86458828679577437</v>
      </c>
      <c r="E11" s="393">
        <v>0.13541171320422563</v>
      </c>
      <c r="F11" s="394">
        <v>8.3496036337652124E-2</v>
      </c>
      <c r="G11" s="395">
        <v>5.1915676866573501E-2</v>
      </c>
    </row>
    <row r="12" spans="2:7" ht="13.5">
      <c r="B12" s="14">
        <v>2010</v>
      </c>
      <c r="C12" s="393">
        <v>0.58156976235578917</v>
      </c>
      <c r="D12" s="393">
        <v>0.83897354027462345</v>
      </c>
      <c r="E12" s="393">
        <v>0.16102645972537655</v>
      </c>
      <c r="F12" s="394">
        <v>9.364811991548129E-2</v>
      </c>
      <c r="G12" s="395">
        <v>6.7378339809895257E-2</v>
      </c>
    </row>
    <row r="13" spans="2:7" ht="13.5">
      <c r="B13" s="14">
        <v>2011</v>
      </c>
      <c r="C13" s="393">
        <v>0.61737056258631107</v>
      </c>
      <c r="D13" s="393">
        <v>0.83728341584716004</v>
      </c>
      <c r="E13" s="393">
        <v>0.16271658415283996</v>
      </c>
      <c r="F13" s="394">
        <v>0.10045642910056163</v>
      </c>
      <c r="G13" s="395">
        <v>6.2260155052278332E-2</v>
      </c>
    </row>
    <row r="14" spans="2:7" ht="13.5">
      <c r="B14" s="14">
        <v>2012</v>
      </c>
      <c r="C14" s="393">
        <v>0.63640139419158748</v>
      </c>
      <c r="D14" s="393">
        <v>0.80722889888761684</v>
      </c>
      <c r="E14" s="393">
        <v>0.19277110111238316</v>
      </c>
      <c r="F14" s="394">
        <v>0.12267979750776813</v>
      </c>
      <c r="G14" s="395">
        <v>7.0091303604615032E-2</v>
      </c>
    </row>
    <row r="15" spans="2:7" ht="13.5">
      <c r="B15" s="14">
        <v>2013</v>
      </c>
      <c r="C15" s="393">
        <v>0.66702996976733997</v>
      </c>
      <c r="D15" s="393">
        <v>0.83799133100064704</v>
      </c>
      <c r="E15" s="393">
        <v>0.16200866899935296</v>
      </c>
      <c r="F15" s="394">
        <v>0.10806463758468539</v>
      </c>
      <c r="G15" s="395">
        <v>5.3944031414667568E-2</v>
      </c>
    </row>
    <row r="16" spans="2:7" ht="13.5">
      <c r="B16" s="14">
        <v>2014</v>
      </c>
      <c r="C16" s="393">
        <v>0.63773534730347836</v>
      </c>
      <c r="D16" s="393">
        <v>0.85648327835502203</v>
      </c>
      <c r="E16" s="393">
        <v>0.14351672164497797</v>
      </c>
      <c r="F16" s="394">
        <v>9.1525686322116662E-2</v>
      </c>
      <c r="G16" s="395">
        <v>5.1991035322861312E-2</v>
      </c>
    </row>
    <row r="17" spans="2:7" ht="15">
      <c r="B17" s="131" t="s">
        <v>276</v>
      </c>
      <c r="C17" s="367">
        <f>AVERAGE(C4:C16)</f>
        <v>0.63548377518957666</v>
      </c>
      <c r="D17" s="133">
        <f t="shared" ref="D17:G17" si="0">AVERAGE(D4:D16)</f>
        <v>0.87811793408852445</v>
      </c>
      <c r="E17" s="133">
        <f t="shared" si="0"/>
        <v>0.12188206591147564</v>
      </c>
      <c r="F17" s="133">
        <f t="shared" si="0"/>
        <v>7.7024226806946219E-2</v>
      </c>
      <c r="G17" s="133">
        <f t="shared" si="0"/>
        <v>4.4857839104529423E-2</v>
      </c>
    </row>
    <row r="19" spans="2:7" ht="15">
      <c r="B19" s="128" t="s">
        <v>155</v>
      </c>
    </row>
    <row r="20" spans="2:7" ht="89.25">
      <c r="B20" s="129"/>
      <c r="C20" s="134" t="s">
        <v>156</v>
      </c>
      <c r="D20" s="134" t="s">
        <v>157</v>
      </c>
      <c r="E20" s="134" t="s">
        <v>158</v>
      </c>
    </row>
    <row r="21" spans="2:7" ht="13.5">
      <c r="B21" s="14">
        <v>2002</v>
      </c>
      <c r="C21" s="17"/>
      <c r="E21" s="17"/>
    </row>
    <row r="22" spans="2:7" ht="13.5">
      <c r="B22" s="14">
        <v>2003</v>
      </c>
      <c r="C22" s="396"/>
      <c r="D22" s="397"/>
      <c r="E22" s="396"/>
    </row>
    <row r="23" spans="2:7" ht="13.5">
      <c r="B23" s="14">
        <v>2004</v>
      </c>
      <c r="C23" s="396">
        <v>0.41718373239506584</v>
      </c>
      <c r="D23" s="396">
        <v>0.44179837176842579</v>
      </c>
      <c r="E23" s="396">
        <v>0.60445579215659795</v>
      </c>
    </row>
    <row r="24" spans="2:7" ht="13.5">
      <c r="B24" s="14">
        <v>2005</v>
      </c>
      <c r="C24" s="396">
        <v>0.375460379497777</v>
      </c>
      <c r="D24" s="396">
        <v>0.44733446876897659</v>
      </c>
      <c r="E24" s="396">
        <v>0.6299519507624024</v>
      </c>
    </row>
    <row r="25" spans="2:7" ht="13.5">
      <c r="B25" s="14">
        <v>2006</v>
      </c>
      <c r="C25" s="396">
        <v>0.36784439365935206</v>
      </c>
      <c r="D25" s="396">
        <v>0.44176306519639369</v>
      </c>
      <c r="E25" s="396">
        <v>0.60894898592160929</v>
      </c>
    </row>
    <row r="26" spans="2:7" ht="13.5">
      <c r="B26" s="14">
        <v>2007</v>
      </c>
      <c r="C26" s="396">
        <v>0.37070371963555387</v>
      </c>
      <c r="D26" s="396">
        <v>0.46297429401059442</v>
      </c>
      <c r="E26" s="396">
        <v>0.61306700211317211</v>
      </c>
    </row>
    <row r="27" spans="2:7" ht="13.5">
      <c r="B27" s="14">
        <v>2008</v>
      </c>
      <c r="C27" s="396">
        <v>0.3621100553136124</v>
      </c>
      <c r="D27" s="396">
        <v>0.47215289303209385</v>
      </c>
      <c r="E27" s="396">
        <v>0.60069739532944366</v>
      </c>
    </row>
    <row r="28" spans="2:7" ht="13.5">
      <c r="B28" s="14">
        <v>2009</v>
      </c>
      <c r="C28" s="396">
        <v>0.38307467381159549</v>
      </c>
      <c r="D28" s="396">
        <v>0.46812485059343611</v>
      </c>
      <c r="E28" s="396">
        <v>0.62115919688781018</v>
      </c>
    </row>
    <row r="29" spans="2:7" ht="13.5">
      <c r="B29" s="14">
        <v>2010</v>
      </c>
      <c r="C29" s="396">
        <v>0.42271774215187613</v>
      </c>
      <c r="D29" s="396">
        <v>0.51687571921571984</v>
      </c>
      <c r="E29" s="396">
        <v>0.65393733292566514</v>
      </c>
    </row>
    <row r="30" spans="2:7" ht="13.5">
      <c r="B30" s="14">
        <v>2011</v>
      </c>
      <c r="C30" s="396">
        <v>0.41922819849030007</v>
      </c>
      <c r="D30" s="396">
        <v>0.50551187305390499</v>
      </c>
      <c r="E30" s="396">
        <v>0.63266651684835484</v>
      </c>
    </row>
    <row r="31" spans="2:7" ht="13.5">
      <c r="B31" s="14">
        <v>2012</v>
      </c>
      <c r="C31" s="396">
        <v>0.46040267391162965</v>
      </c>
      <c r="D31" s="396">
        <v>0.52994761485958175</v>
      </c>
      <c r="E31" s="396">
        <v>0.65340959143339117</v>
      </c>
      <c r="F31" s="361"/>
    </row>
    <row r="32" spans="2:7" ht="13.5">
      <c r="B32" s="14">
        <v>2013</v>
      </c>
      <c r="C32" s="398">
        <f t="shared" ref="C32:D33" si="1">C31</f>
        <v>0.46040267391162965</v>
      </c>
      <c r="D32" s="398">
        <f t="shared" si="1"/>
        <v>0.52994761485958175</v>
      </c>
      <c r="E32" s="399">
        <v>0.63782007263824037</v>
      </c>
    </row>
    <row r="33" spans="2:5" ht="13.5">
      <c r="B33" s="14">
        <v>2014</v>
      </c>
      <c r="C33" s="398">
        <f t="shared" si="1"/>
        <v>0.46040267391162965</v>
      </c>
      <c r="D33" s="398">
        <f t="shared" si="1"/>
        <v>0.52994761485958175</v>
      </c>
      <c r="E33" s="399">
        <v>0.641921054308773</v>
      </c>
    </row>
    <row r="34" spans="2:5" ht="15">
      <c r="B34" s="131" t="s">
        <v>276</v>
      </c>
      <c r="C34" s="132">
        <f t="shared" ref="C34:D34" si="2">AVERAGE(C23:C33)</f>
        <v>0.40904826515363835</v>
      </c>
      <c r="D34" s="132">
        <f t="shared" si="2"/>
        <v>0.48603439820166283</v>
      </c>
      <c r="E34" s="132">
        <f>AVERAGE(E23:E33)</f>
        <v>0.62709408102958719</v>
      </c>
    </row>
    <row r="36" spans="2:5">
      <c r="B36" s="18" t="s">
        <v>588</v>
      </c>
    </row>
  </sheetData>
  <pageMargins left="0.7" right="0.7" top="0.75" bottom="0.75" header="0.3" footer="0.3"/>
  <pageSetup orientation="landscape" r:id="rId1"/>
  <headerFooter>
    <oddHeader>&amp;CFiled: 2016-10-26, EB-2016-0152
Exhibit L, Tab 11.1, Schedule 1 Staff-246
Attachment 2</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H124"/>
  <sheetViews>
    <sheetView showGridLines="0" tabSelected="1" view="pageLayout" zoomScaleNormal="100" workbookViewId="0">
      <selection activeCell="A2" sqref="A2"/>
    </sheetView>
  </sheetViews>
  <sheetFormatPr defaultRowHeight="12.75"/>
  <cols>
    <col min="2" max="2" width="10.140625" customWidth="1"/>
    <col min="13" max="13" width="10" bestFit="1" customWidth="1"/>
    <col min="17" max="18" width="9.140625" style="33"/>
  </cols>
  <sheetData>
    <row r="1" spans="1:138" s="26" customFormat="1" ht="15.75">
      <c r="A1" s="23"/>
      <c r="B1" s="23" t="s">
        <v>36</v>
      </c>
      <c r="C1" s="23"/>
      <c r="D1" s="23"/>
      <c r="E1" s="23"/>
      <c r="F1" s="23"/>
      <c r="G1" s="23"/>
      <c r="H1" s="23"/>
      <c r="I1" s="23"/>
      <c r="J1" s="23"/>
      <c r="K1" s="23"/>
      <c r="L1" s="23"/>
      <c r="M1" s="23"/>
      <c r="N1" s="23"/>
      <c r="O1" s="23"/>
      <c r="P1" s="23"/>
      <c r="Q1" s="24"/>
      <c r="R1" s="25"/>
      <c r="S1" s="23"/>
      <c r="T1" s="23"/>
      <c r="U1" s="23"/>
    </row>
    <row r="2" spans="1:138" s="30" customFormat="1" ht="15.75">
      <c r="A2" s="27"/>
      <c r="B2" s="27"/>
      <c r="C2" s="27"/>
      <c r="D2" s="27"/>
      <c r="E2" s="27"/>
      <c r="F2" s="27"/>
      <c r="G2" s="27"/>
      <c r="H2" s="27"/>
      <c r="I2" s="27"/>
      <c r="J2" s="27"/>
      <c r="K2" s="27"/>
      <c r="L2" s="27"/>
      <c r="M2" s="27"/>
      <c r="N2" s="27"/>
      <c r="O2" s="27"/>
      <c r="P2" s="27"/>
      <c r="Q2" s="28"/>
      <c r="R2" s="29"/>
      <c r="S2" s="27"/>
      <c r="T2" s="27"/>
      <c r="U2" s="27"/>
    </row>
    <row r="3" spans="1:138">
      <c r="A3" s="31" t="s">
        <v>37</v>
      </c>
      <c r="Q3" s="32"/>
    </row>
    <row r="4" spans="1:138">
      <c r="A4" s="31"/>
      <c r="Q4" s="32"/>
    </row>
    <row r="5" spans="1:138" s="35" customFormat="1" ht="13.5">
      <c r="A5" s="31"/>
      <c r="B5" s="34" t="s">
        <v>38</v>
      </c>
      <c r="Q5" s="36"/>
      <c r="R5" s="37"/>
      <c r="S5" s="34" t="s">
        <v>38</v>
      </c>
    </row>
    <row r="6" spans="1:138" s="35" customFormat="1" ht="19.5">
      <c r="A6" s="38"/>
      <c r="B6" s="39" t="s">
        <v>39</v>
      </c>
      <c r="Q6" s="36"/>
      <c r="R6" s="37"/>
      <c r="S6" s="39" t="s">
        <v>40</v>
      </c>
    </row>
    <row r="7" spans="1:138" s="35" customFormat="1">
      <c r="A7"/>
      <c r="B7" s="40" t="s">
        <v>41</v>
      </c>
      <c r="Q7" s="36"/>
      <c r="R7" s="37"/>
      <c r="S7" s="40" t="s">
        <v>42</v>
      </c>
    </row>
    <row r="8" spans="1:138">
      <c r="B8" s="41" t="s">
        <v>43</v>
      </c>
      <c r="Q8" s="32"/>
      <c r="S8" s="41" t="s">
        <v>44</v>
      </c>
    </row>
    <row r="9" spans="1:138">
      <c r="B9" s="42" t="s">
        <v>110</v>
      </c>
      <c r="Q9" s="32"/>
      <c r="S9" s="42" t="s">
        <v>110</v>
      </c>
    </row>
    <row r="10" spans="1:138">
      <c r="B10" s="42" t="s">
        <v>45</v>
      </c>
      <c r="Q10" s="32"/>
      <c r="S10" s="42" t="s">
        <v>45</v>
      </c>
    </row>
    <row r="11" spans="1:138">
      <c r="B11" s="42" t="s">
        <v>46</v>
      </c>
      <c r="Q11" s="32"/>
      <c r="S11" s="42" t="s">
        <v>46</v>
      </c>
    </row>
    <row r="12" spans="1:138">
      <c r="B12" s="42" t="s">
        <v>304</v>
      </c>
      <c r="Q12" s="32"/>
      <c r="S12" s="42" t="s">
        <v>109</v>
      </c>
    </row>
    <row r="13" spans="1:138">
      <c r="B13" s="42"/>
      <c r="Q13" s="32"/>
      <c r="S13" s="42"/>
    </row>
    <row r="14" spans="1:138" ht="13.5" thickBot="1">
      <c r="B14" s="43" t="s">
        <v>47</v>
      </c>
      <c r="Q14" s="32"/>
      <c r="S14" s="43" t="s">
        <v>48</v>
      </c>
    </row>
    <row r="15" spans="1:138" ht="13.5" thickBot="1">
      <c r="B15" s="44">
        <v>2001</v>
      </c>
      <c r="C15" s="44">
        <v>2002</v>
      </c>
      <c r="D15" s="44">
        <v>2003</v>
      </c>
      <c r="E15" s="44">
        <v>2004</v>
      </c>
      <c r="F15" s="44">
        <v>2005</v>
      </c>
      <c r="G15" s="44">
        <v>2006</v>
      </c>
      <c r="H15" s="44">
        <v>2007</v>
      </c>
      <c r="I15" s="44">
        <v>2008</v>
      </c>
      <c r="J15" s="44">
        <v>2009</v>
      </c>
      <c r="K15" s="44">
        <v>2010</v>
      </c>
      <c r="L15" s="44">
        <v>2011</v>
      </c>
      <c r="M15" s="44">
        <v>2012</v>
      </c>
      <c r="N15" s="44">
        <v>2013</v>
      </c>
      <c r="O15" s="44">
        <v>2014</v>
      </c>
      <c r="Q15" s="32"/>
      <c r="S15" s="45">
        <v>1991</v>
      </c>
      <c r="T15" s="45">
        <v>1991</v>
      </c>
      <c r="U15" s="45">
        <v>1991</v>
      </c>
      <c r="V15" s="45">
        <v>1991</v>
      </c>
      <c r="W15" s="45">
        <v>1991</v>
      </c>
      <c r="X15" s="45">
        <v>1991</v>
      </c>
      <c r="Y15" s="45">
        <v>1991</v>
      </c>
      <c r="Z15" s="45">
        <v>1991</v>
      </c>
      <c r="AA15" s="45">
        <v>1991</v>
      </c>
      <c r="AB15" s="45">
        <v>1991</v>
      </c>
      <c r="AC15" s="45">
        <v>1991</v>
      </c>
      <c r="AD15" s="45">
        <v>1991</v>
      </c>
      <c r="AE15" s="45">
        <v>1992</v>
      </c>
      <c r="AF15" s="45">
        <v>1992</v>
      </c>
      <c r="AG15" s="45">
        <v>1992</v>
      </c>
      <c r="AH15" s="45">
        <v>1992</v>
      </c>
      <c r="AI15" s="45">
        <v>1992</v>
      </c>
      <c r="AJ15" s="45">
        <v>1992</v>
      </c>
      <c r="AK15" s="45">
        <v>1992</v>
      </c>
      <c r="AL15" s="45">
        <v>1992</v>
      </c>
      <c r="AM15" s="45">
        <v>1992</v>
      </c>
      <c r="AN15" s="45">
        <v>1992</v>
      </c>
      <c r="AO15" s="45">
        <v>1992</v>
      </c>
      <c r="AP15" s="45">
        <v>1992</v>
      </c>
      <c r="AQ15" s="45">
        <v>1993</v>
      </c>
      <c r="AR15" s="45">
        <v>1993</v>
      </c>
      <c r="AS15" s="45">
        <v>1993</v>
      </c>
      <c r="AT15" s="45">
        <v>1993</v>
      </c>
      <c r="AU15" s="45">
        <v>1993</v>
      </c>
      <c r="AV15" s="45">
        <v>1993</v>
      </c>
      <c r="AW15" s="45">
        <v>1993</v>
      </c>
      <c r="AX15" s="45">
        <v>1993</v>
      </c>
      <c r="AY15" s="45">
        <v>1993</v>
      </c>
      <c r="AZ15" s="45">
        <v>1993</v>
      </c>
      <c r="BA15" s="45">
        <v>1993</v>
      </c>
      <c r="BB15" s="45">
        <v>1993</v>
      </c>
      <c r="BC15" s="45">
        <v>1994</v>
      </c>
      <c r="BD15" s="45">
        <v>1994</v>
      </c>
      <c r="BE15" s="45">
        <v>1994</v>
      </c>
      <c r="BF15" s="45">
        <v>1994</v>
      </c>
      <c r="BG15" s="45">
        <v>1994</v>
      </c>
      <c r="BH15" s="45">
        <v>1994</v>
      </c>
      <c r="BI15" s="45">
        <v>1994</v>
      </c>
      <c r="BJ15" s="45">
        <v>1994</v>
      </c>
      <c r="BK15" s="45">
        <v>1994</v>
      </c>
      <c r="BL15" s="45">
        <v>1994</v>
      </c>
      <c r="BM15" s="45">
        <v>1994</v>
      </c>
      <c r="BN15" s="45">
        <v>1994</v>
      </c>
      <c r="BO15" s="45">
        <v>1995</v>
      </c>
      <c r="BP15" s="45">
        <v>1995</v>
      </c>
      <c r="BQ15" s="45">
        <v>1995</v>
      </c>
      <c r="BR15" s="45">
        <v>1995</v>
      </c>
      <c r="BS15" s="45">
        <v>1995</v>
      </c>
      <c r="BT15" s="45">
        <v>1995</v>
      </c>
      <c r="BU15" s="45">
        <v>1995</v>
      </c>
      <c r="BV15" s="45">
        <v>1995</v>
      </c>
      <c r="BW15" s="45">
        <v>1995</v>
      </c>
      <c r="BX15" s="45">
        <v>1995</v>
      </c>
      <c r="BY15" s="45">
        <v>1995</v>
      </c>
      <c r="BZ15" s="45">
        <v>1995</v>
      </c>
      <c r="CA15" s="45">
        <v>1996</v>
      </c>
      <c r="CB15" s="45">
        <v>1996</v>
      </c>
      <c r="CC15" s="45">
        <v>1996</v>
      </c>
      <c r="CD15" s="45">
        <v>1996</v>
      </c>
      <c r="CE15" s="45">
        <v>1996</v>
      </c>
      <c r="CF15" s="45">
        <v>1996</v>
      </c>
      <c r="CG15" s="45">
        <v>1996</v>
      </c>
      <c r="CH15" s="45">
        <v>1996</v>
      </c>
      <c r="CI15" s="45">
        <v>1996</v>
      </c>
      <c r="CJ15" s="45">
        <v>1996</v>
      </c>
      <c r="CK15" s="45">
        <v>1996</v>
      </c>
      <c r="CL15" s="45">
        <v>1996</v>
      </c>
      <c r="CM15" s="45">
        <v>1997</v>
      </c>
      <c r="CN15" s="45">
        <v>1997</v>
      </c>
      <c r="CO15" s="45">
        <v>1997</v>
      </c>
      <c r="CP15" s="45">
        <v>1997</v>
      </c>
      <c r="CQ15" s="45">
        <v>1997</v>
      </c>
      <c r="CR15" s="45">
        <v>1997</v>
      </c>
      <c r="CS15" s="45">
        <v>1997</v>
      </c>
      <c r="CT15" s="45">
        <v>1997</v>
      </c>
      <c r="CU15" s="45">
        <v>1997</v>
      </c>
      <c r="CV15" s="45">
        <v>1997</v>
      </c>
      <c r="CW15" s="45">
        <v>1997</v>
      </c>
      <c r="CX15" s="45">
        <v>1997</v>
      </c>
      <c r="CY15" s="45">
        <v>1998</v>
      </c>
      <c r="CZ15" s="45">
        <v>1998</v>
      </c>
      <c r="DA15" s="45">
        <v>1998</v>
      </c>
      <c r="DB15" s="45">
        <v>1998</v>
      </c>
      <c r="DC15" s="45">
        <v>1998</v>
      </c>
      <c r="DD15" s="45">
        <v>1998</v>
      </c>
      <c r="DE15" s="45">
        <v>1998</v>
      </c>
      <c r="DF15" s="45">
        <v>1998</v>
      </c>
      <c r="DG15" s="45">
        <v>1998</v>
      </c>
      <c r="DH15" s="45">
        <v>1998</v>
      </c>
      <c r="DI15" s="45">
        <v>1998</v>
      </c>
      <c r="DJ15" s="45">
        <v>1998</v>
      </c>
      <c r="DK15" s="45">
        <v>1999</v>
      </c>
      <c r="DL15" s="45">
        <v>1999</v>
      </c>
      <c r="DM15" s="45">
        <v>1999</v>
      </c>
      <c r="DN15" s="45">
        <v>1999</v>
      </c>
      <c r="DO15" s="45">
        <v>1999</v>
      </c>
      <c r="DP15" s="45">
        <v>1999</v>
      </c>
      <c r="DQ15" s="45">
        <v>1999</v>
      </c>
      <c r="DR15" s="45">
        <v>1999</v>
      </c>
      <c r="DS15" s="45">
        <v>1999</v>
      </c>
      <c r="DT15" s="45">
        <v>1999</v>
      </c>
      <c r="DU15" s="45">
        <v>1999</v>
      </c>
      <c r="DV15" s="45">
        <v>1999</v>
      </c>
      <c r="DW15" s="45">
        <v>2000</v>
      </c>
      <c r="DX15" s="45">
        <v>2000</v>
      </c>
      <c r="DY15" s="45">
        <v>2000</v>
      </c>
      <c r="DZ15" s="45">
        <v>2000</v>
      </c>
      <c r="EA15" s="45">
        <v>2000</v>
      </c>
      <c r="EB15" s="45">
        <v>2000</v>
      </c>
      <c r="EC15" s="45">
        <v>2000</v>
      </c>
      <c r="ED15" s="45">
        <v>2000</v>
      </c>
      <c r="EE15" s="45">
        <v>2000</v>
      </c>
      <c r="EF15" s="45">
        <v>2000</v>
      </c>
      <c r="EG15" s="45">
        <v>2000</v>
      </c>
      <c r="EH15" s="45">
        <v>2000</v>
      </c>
    </row>
    <row r="16" spans="1:138" ht="13.5" thickBot="1">
      <c r="A16" s="18" t="s">
        <v>49</v>
      </c>
      <c r="B16" s="400">
        <v>695.66</v>
      </c>
      <c r="C16" s="400">
        <v>710.87</v>
      </c>
      <c r="D16" s="400">
        <v>728.38</v>
      </c>
      <c r="E16" s="400">
        <v>748.57</v>
      </c>
      <c r="F16" s="400">
        <v>775.8</v>
      </c>
      <c r="G16" s="400">
        <v>788.25</v>
      </c>
      <c r="H16" s="400">
        <v>818.61</v>
      </c>
      <c r="I16" s="400">
        <v>837.91</v>
      </c>
      <c r="J16" s="400" t="s">
        <v>327</v>
      </c>
      <c r="K16" s="400" t="s">
        <v>328</v>
      </c>
      <c r="L16" s="400" t="s">
        <v>329</v>
      </c>
      <c r="M16" s="400" t="s">
        <v>330</v>
      </c>
      <c r="N16" s="400" t="s">
        <v>331</v>
      </c>
      <c r="O16" s="400" t="s">
        <v>332</v>
      </c>
      <c r="Q16" s="32"/>
      <c r="S16" s="46">
        <v>1</v>
      </c>
      <c r="T16" s="46">
        <v>2</v>
      </c>
      <c r="U16" s="46">
        <v>3</v>
      </c>
      <c r="V16" s="46">
        <v>4</v>
      </c>
      <c r="W16" s="46">
        <v>5</v>
      </c>
      <c r="X16" s="46">
        <v>6</v>
      </c>
      <c r="Y16" s="46">
        <v>7</v>
      </c>
      <c r="Z16" s="46">
        <v>8</v>
      </c>
      <c r="AA16" s="46">
        <v>9</v>
      </c>
      <c r="AB16" s="46">
        <v>10</v>
      </c>
      <c r="AC16" s="46">
        <v>11</v>
      </c>
      <c r="AD16" s="46">
        <v>12</v>
      </c>
      <c r="AE16" s="46">
        <v>1</v>
      </c>
      <c r="AF16" s="46">
        <v>2</v>
      </c>
      <c r="AG16" s="46">
        <v>3</v>
      </c>
      <c r="AH16" s="46">
        <v>4</v>
      </c>
      <c r="AI16" s="46">
        <v>5</v>
      </c>
      <c r="AJ16" s="46">
        <v>6</v>
      </c>
      <c r="AK16" s="46">
        <v>7</v>
      </c>
      <c r="AL16" s="46">
        <v>8</v>
      </c>
      <c r="AM16" s="46">
        <v>9</v>
      </c>
      <c r="AN16" s="46">
        <v>10</v>
      </c>
      <c r="AO16" s="46">
        <v>11</v>
      </c>
      <c r="AP16" s="46">
        <v>12</v>
      </c>
      <c r="AQ16" s="46">
        <v>1</v>
      </c>
      <c r="AR16" s="46">
        <v>2</v>
      </c>
      <c r="AS16" s="46">
        <v>3</v>
      </c>
      <c r="AT16" s="46">
        <v>4</v>
      </c>
      <c r="AU16" s="46">
        <v>5</v>
      </c>
      <c r="AV16" s="46">
        <v>6</v>
      </c>
      <c r="AW16" s="46">
        <v>7</v>
      </c>
      <c r="AX16" s="46">
        <v>8</v>
      </c>
      <c r="AY16" s="46">
        <v>9</v>
      </c>
      <c r="AZ16" s="46">
        <v>10</v>
      </c>
      <c r="BA16" s="46">
        <v>11</v>
      </c>
      <c r="BB16" s="46">
        <v>12</v>
      </c>
      <c r="BC16" s="46">
        <v>1</v>
      </c>
      <c r="BD16" s="46">
        <v>2</v>
      </c>
      <c r="BE16" s="46">
        <v>3</v>
      </c>
      <c r="BF16" s="46">
        <v>4</v>
      </c>
      <c r="BG16" s="46">
        <v>5</v>
      </c>
      <c r="BH16" s="46">
        <v>6</v>
      </c>
      <c r="BI16" s="46">
        <v>7</v>
      </c>
      <c r="BJ16" s="46">
        <v>8</v>
      </c>
      <c r="BK16" s="46">
        <v>9</v>
      </c>
      <c r="BL16" s="46">
        <v>10</v>
      </c>
      <c r="BM16" s="46">
        <v>11</v>
      </c>
      <c r="BN16" s="46">
        <v>12</v>
      </c>
      <c r="BO16" s="46">
        <v>1</v>
      </c>
      <c r="BP16" s="46">
        <v>2</v>
      </c>
      <c r="BQ16" s="46">
        <v>3</v>
      </c>
      <c r="BR16" s="46">
        <v>4</v>
      </c>
      <c r="BS16" s="46">
        <v>5</v>
      </c>
      <c r="BT16" s="46">
        <v>6</v>
      </c>
      <c r="BU16" s="46">
        <v>7</v>
      </c>
      <c r="BV16" s="46">
        <v>8</v>
      </c>
      <c r="BW16" s="46">
        <v>9</v>
      </c>
      <c r="BX16" s="46">
        <v>10</v>
      </c>
      <c r="BY16" s="46">
        <v>11</v>
      </c>
      <c r="BZ16" s="46">
        <v>12</v>
      </c>
      <c r="CA16" s="46">
        <v>1</v>
      </c>
      <c r="CB16" s="46">
        <v>2</v>
      </c>
      <c r="CC16" s="46">
        <v>3</v>
      </c>
      <c r="CD16" s="46">
        <v>4</v>
      </c>
      <c r="CE16" s="46">
        <v>5</v>
      </c>
      <c r="CF16" s="46">
        <v>6</v>
      </c>
      <c r="CG16" s="46">
        <v>7</v>
      </c>
      <c r="CH16" s="46">
        <v>8</v>
      </c>
      <c r="CI16" s="46">
        <v>9</v>
      </c>
      <c r="CJ16" s="46">
        <v>10</v>
      </c>
      <c r="CK16" s="46">
        <v>11</v>
      </c>
      <c r="CL16" s="46">
        <v>12</v>
      </c>
      <c r="CM16" s="46">
        <v>1</v>
      </c>
      <c r="CN16" s="46">
        <v>2</v>
      </c>
      <c r="CO16" s="46">
        <v>3</v>
      </c>
      <c r="CP16" s="46">
        <v>4</v>
      </c>
      <c r="CQ16" s="46">
        <v>5</v>
      </c>
      <c r="CR16" s="46">
        <v>6</v>
      </c>
      <c r="CS16" s="46">
        <v>7</v>
      </c>
      <c r="CT16" s="46">
        <v>8</v>
      </c>
      <c r="CU16" s="46">
        <v>9</v>
      </c>
      <c r="CV16" s="46">
        <v>10</v>
      </c>
      <c r="CW16" s="46">
        <v>11</v>
      </c>
      <c r="CX16" s="46">
        <v>12</v>
      </c>
      <c r="CY16" s="46">
        <v>1</v>
      </c>
      <c r="CZ16" s="46">
        <v>2</v>
      </c>
      <c r="DA16" s="46">
        <v>3</v>
      </c>
      <c r="DB16" s="46">
        <v>4</v>
      </c>
      <c r="DC16" s="46">
        <v>5</v>
      </c>
      <c r="DD16" s="46">
        <v>6</v>
      </c>
      <c r="DE16" s="46">
        <v>7</v>
      </c>
      <c r="DF16" s="46">
        <v>8</v>
      </c>
      <c r="DG16" s="46">
        <v>9</v>
      </c>
      <c r="DH16" s="46">
        <v>10</v>
      </c>
      <c r="DI16" s="46">
        <v>11</v>
      </c>
      <c r="DJ16" s="46">
        <v>12</v>
      </c>
      <c r="DK16" s="46">
        <v>1</v>
      </c>
      <c r="DL16" s="46">
        <v>2</v>
      </c>
      <c r="DM16" s="46">
        <v>3</v>
      </c>
      <c r="DN16" s="46">
        <v>4</v>
      </c>
      <c r="DO16" s="46">
        <v>5</v>
      </c>
      <c r="DP16" s="46">
        <v>6</v>
      </c>
      <c r="DQ16" s="46">
        <v>7</v>
      </c>
      <c r="DR16" s="46">
        <v>8</v>
      </c>
      <c r="DS16" s="46">
        <v>9</v>
      </c>
      <c r="DT16" s="46">
        <v>10</v>
      </c>
      <c r="DU16" s="46">
        <v>11</v>
      </c>
      <c r="DV16" s="46">
        <v>12</v>
      </c>
      <c r="DW16" s="46">
        <v>1</v>
      </c>
      <c r="DX16" s="46">
        <v>2</v>
      </c>
      <c r="DY16" s="46">
        <v>3</v>
      </c>
      <c r="DZ16" s="46">
        <v>4</v>
      </c>
      <c r="EA16" s="46">
        <v>5</v>
      </c>
      <c r="EB16" s="46">
        <v>6</v>
      </c>
      <c r="EC16" s="46">
        <v>7</v>
      </c>
      <c r="ED16" s="46">
        <v>8</v>
      </c>
      <c r="EE16" s="46">
        <v>9</v>
      </c>
      <c r="EF16" s="46">
        <v>10</v>
      </c>
      <c r="EG16" s="46">
        <v>11</v>
      </c>
      <c r="EH16" s="46">
        <v>12</v>
      </c>
    </row>
    <row r="17" spans="1:138" ht="13.5" thickBot="1">
      <c r="B17" s="400">
        <v>695.66</v>
      </c>
      <c r="C17" s="400">
        <v>710.87</v>
      </c>
      <c r="D17" s="400">
        <v>728.38</v>
      </c>
      <c r="E17" s="400">
        <v>748.57</v>
      </c>
      <c r="F17" s="400">
        <v>775.8</v>
      </c>
      <c r="G17" s="400">
        <v>788.25</v>
      </c>
      <c r="H17" s="400">
        <v>818.61</v>
      </c>
      <c r="I17" s="400">
        <v>837.91</v>
      </c>
      <c r="J17" s="400">
        <v>848.85</v>
      </c>
      <c r="K17" s="400">
        <v>881.43</v>
      </c>
      <c r="L17" s="400">
        <v>893.41</v>
      </c>
      <c r="M17" s="400">
        <v>906.09</v>
      </c>
      <c r="N17" s="400">
        <v>920.12</v>
      </c>
      <c r="O17" s="400">
        <v>938.36</v>
      </c>
      <c r="Q17" s="32"/>
      <c r="R17" s="47" t="s">
        <v>49</v>
      </c>
      <c r="S17" s="402" t="s">
        <v>339</v>
      </c>
      <c r="T17" s="402" t="s">
        <v>340</v>
      </c>
      <c r="U17" s="402" t="s">
        <v>341</v>
      </c>
      <c r="V17" s="402" t="s">
        <v>342</v>
      </c>
      <c r="W17" s="402" t="s">
        <v>343</v>
      </c>
      <c r="X17" s="402" t="s">
        <v>344</v>
      </c>
      <c r="Y17" s="402" t="s">
        <v>345</v>
      </c>
      <c r="Z17" s="402" t="s">
        <v>346</v>
      </c>
      <c r="AA17" s="402" t="s">
        <v>347</v>
      </c>
      <c r="AB17" s="402" t="s">
        <v>348</v>
      </c>
      <c r="AC17" s="402" t="s">
        <v>349</v>
      </c>
      <c r="AD17" s="402" t="s">
        <v>350</v>
      </c>
      <c r="AE17" s="402" t="s">
        <v>351</v>
      </c>
      <c r="AF17" s="402" t="s">
        <v>352</v>
      </c>
      <c r="AG17" s="402" t="s">
        <v>353</v>
      </c>
      <c r="AH17" s="402" t="s">
        <v>354</v>
      </c>
      <c r="AI17" s="402" t="s">
        <v>355</v>
      </c>
      <c r="AJ17" s="402" t="s">
        <v>356</v>
      </c>
      <c r="AK17" s="402" t="s">
        <v>357</v>
      </c>
      <c r="AL17" s="402" t="s">
        <v>358</v>
      </c>
      <c r="AM17" s="402" t="s">
        <v>359</v>
      </c>
      <c r="AN17" s="402" t="s">
        <v>360</v>
      </c>
      <c r="AO17" s="402" t="s">
        <v>361</v>
      </c>
      <c r="AP17" s="402" t="s">
        <v>362</v>
      </c>
      <c r="AQ17" s="402" t="s">
        <v>363</v>
      </c>
      <c r="AR17" s="402" t="s">
        <v>364</v>
      </c>
      <c r="AS17" s="402" t="s">
        <v>365</v>
      </c>
      <c r="AT17" s="402" t="s">
        <v>366</v>
      </c>
      <c r="AU17" s="402" t="s">
        <v>367</v>
      </c>
      <c r="AV17" s="402" t="s">
        <v>368</v>
      </c>
      <c r="AW17" s="402" t="s">
        <v>369</v>
      </c>
      <c r="AX17" s="402" t="s">
        <v>370</v>
      </c>
      <c r="AY17" s="402" t="s">
        <v>371</v>
      </c>
      <c r="AZ17" s="402" t="s">
        <v>372</v>
      </c>
      <c r="BA17" s="402" t="s">
        <v>373</v>
      </c>
      <c r="BB17" s="402" t="s">
        <v>374</v>
      </c>
      <c r="BC17" s="402" t="s">
        <v>375</v>
      </c>
      <c r="BD17" s="402" t="s">
        <v>376</v>
      </c>
      <c r="BE17" s="402" t="s">
        <v>377</v>
      </c>
      <c r="BF17" s="402" t="s">
        <v>378</v>
      </c>
      <c r="BG17" s="402" t="s">
        <v>379</v>
      </c>
      <c r="BH17" s="402" t="s">
        <v>380</v>
      </c>
      <c r="BI17" s="402" t="s">
        <v>381</v>
      </c>
      <c r="BJ17" s="402" t="s">
        <v>382</v>
      </c>
      <c r="BK17" s="402" t="s">
        <v>383</v>
      </c>
      <c r="BL17" s="402" t="s">
        <v>384</v>
      </c>
      <c r="BM17" s="402" t="s">
        <v>385</v>
      </c>
      <c r="BN17" s="402" t="s">
        <v>386</v>
      </c>
      <c r="BO17" s="402" t="s">
        <v>387</v>
      </c>
      <c r="BP17" s="402" t="s">
        <v>388</v>
      </c>
      <c r="BQ17" s="402" t="s">
        <v>389</v>
      </c>
      <c r="BR17" s="402" t="s">
        <v>390</v>
      </c>
      <c r="BS17" s="402" t="s">
        <v>391</v>
      </c>
      <c r="BT17" s="402" t="s">
        <v>392</v>
      </c>
      <c r="BU17" s="402" t="s">
        <v>393</v>
      </c>
      <c r="BV17" s="402" t="s">
        <v>394</v>
      </c>
      <c r="BW17" s="402" t="s">
        <v>395</v>
      </c>
      <c r="BX17" s="402" t="s">
        <v>396</v>
      </c>
      <c r="BY17" s="402" t="s">
        <v>397</v>
      </c>
      <c r="BZ17" s="402" t="s">
        <v>398</v>
      </c>
      <c r="CA17" s="402" t="s">
        <v>399</v>
      </c>
      <c r="CB17" s="402" t="s">
        <v>400</v>
      </c>
      <c r="CC17" s="402" t="s">
        <v>401</v>
      </c>
      <c r="CD17" s="402" t="s">
        <v>402</v>
      </c>
      <c r="CE17" s="402" t="s">
        <v>403</v>
      </c>
      <c r="CF17" s="402" t="s">
        <v>404</v>
      </c>
      <c r="CG17" s="402" t="s">
        <v>405</v>
      </c>
      <c r="CH17" s="402" t="s">
        <v>406</v>
      </c>
      <c r="CI17" s="402" t="s">
        <v>407</v>
      </c>
      <c r="CJ17" s="402" t="s">
        <v>408</v>
      </c>
      <c r="CK17" s="402" t="s">
        <v>409</v>
      </c>
      <c r="CL17" s="402" t="s">
        <v>410</v>
      </c>
      <c r="CM17" s="402" t="s">
        <v>411</v>
      </c>
      <c r="CN17" s="402" t="s">
        <v>412</v>
      </c>
      <c r="CO17" s="402" t="s">
        <v>413</v>
      </c>
      <c r="CP17" s="402" t="s">
        <v>414</v>
      </c>
      <c r="CQ17" s="402" t="s">
        <v>415</v>
      </c>
      <c r="CR17" s="402" t="s">
        <v>416</v>
      </c>
      <c r="CS17" s="402" t="s">
        <v>417</v>
      </c>
      <c r="CT17" s="402" t="s">
        <v>418</v>
      </c>
      <c r="CU17" s="402" t="s">
        <v>419</v>
      </c>
      <c r="CV17" s="402" t="s">
        <v>420</v>
      </c>
      <c r="CW17" s="402" t="s">
        <v>421</v>
      </c>
      <c r="CX17" s="402" t="s">
        <v>422</v>
      </c>
      <c r="CY17" s="402" t="s">
        <v>423</v>
      </c>
      <c r="CZ17" s="402" t="s">
        <v>424</v>
      </c>
      <c r="DA17" s="402" t="s">
        <v>425</v>
      </c>
      <c r="DB17" s="402" t="s">
        <v>426</v>
      </c>
      <c r="DC17" s="402" t="s">
        <v>427</v>
      </c>
      <c r="DD17" s="402" t="s">
        <v>428</v>
      </c>
      <c r="DE17" s="402" t="s">
        <v>429</v>
      </c>
      <c r="DF17" s="402" t="s">
        <v>430</v>
      </c>
      <c r="DG17" s="402" t="s">
        <v>431</v>
      </c>
      <c r="DH17" s="402" t="s">
        <v>432</v>
      </c>
      <c r="DI17" s="402" t="s">
        <v>433</v>
      </c>
      <c r="DJ17" s="402" t="s">
        <v>434</v>
      </c>
      <c r="DK17" s="402" t="s">
        <v>435</v>
      </c>
      <c r="DL17" s="402" t="s">
        <v>436</v>
      </c>
      <c r="DM17" s="402" t="s">
        <v>437</v>
      </c>
      <c r="DN17" s="402" t="s">
        <v>438</v>
      </c>
      <c r="DO17" s="402" t="s">
        <v>439</v>
      </c>
      <c r="DP17" s="402" t="s">
        <v>440</v>
      </c>
      <c r="DQ17" s="402" t="s">
        <v>441</v>
      </c>
      <c r="DR17" s="402" t="s">
        <v>442</v>
      </c>
      <c r="DS17" s="402" t="s">
        <v>443</v>
      </c>
      <c r="DT17" s="402" t="s">
        <v>444</v>
      </c>
      <c r="DU17" s="402" t="s">
        <v>445</v>
      </c>
      <c r="DV17" s="402" t="s">
        <v>446</v>
      </c>
      <c r="DW17" s="402" t="s">
        <v>447</v>
      </c>
      <c r="DX17" s="402" t="s">
        <v>448</v>
      </c>
      <c r="DY17" s="402" t="s">
        <v>449</v>
      </c>
      <c r="DZ17" s="402" t="s">
        <v>450</v>
      </c>
      <c r="EA17" s="402" t="s">
        <v>451</v>
      </c>
      <c r="EB17" s="402" t="s">
        <v>452</v>
      </c>
      <c r="EC17" s="402" t="s">
        <v>453</v>
      </c>
      <c r="ED17" s="402" t="s">
        <v>454</v>
      </c>
      <c r="EE17" s="402" t="s">
        <v>455</v>
      </c>
      <c r="EF17" s="402" t="s">
        <v>456</v>
      </c>
      <c r="EG17" s="402" t="s">
        <v>457</v>
      </c>
      <c r="EH17" s="402" t="s">
        <v>458</v>
      </c>
    </row>
    <row r="18" spans="1:138" ht="13.5" thickBot="1">
      <c r="C18" s="112">
        <f>LN(C17/B17)</f>
        <v>2.1628536787369972E-2</v>
      </c>
      <c r="D18" s="112">
        <f t="shared" ref="D18:M18" si="0">LN(D17/C17)</f>
        <v>2.433331801866611E-2</v>
      </c>
      <c r="E18" s="112">
        <f t="shared" si="0"/>
        <v>2.7341829825483152E-2</v>
      </c>
      <c r="F18" s="112">
        <f t="shared" si="0"/>
        <v>3.5730035144859583E-2</v>
      </c>
      <c r="G18" s="112">
        <f t="shared" si="0"/>
        <v>1.5920543419303428E-2</v>
      </c>
      <c r="H18" s="112">
        <f t="shared" si="0"/>
        <v>3.7792481537017898E-2</v>
      </c>
      <c r="I18" s="112">
        <f t="shared" si="0"/>
        <v>2.3302916184236758E-2</v>
      </c>
      <c r="J18" s="112">
        <f t="shared" si="0"/>
        <v>1.297179611021774E-2</v>
      </c>
      <c r="K18" s="112">
        <f t="shared" si="0"/>
        <v>3.7663096331707037E-2</v>
      </c>
      <c r="L18" s="112">
        <f t="shared" si="0"/>
        <v>1.3500013461562871E-2</v>
      </c>
      <c r="M18" s="112">
        <f t="shared" si="0"/>
        <v>1.4093036807743632E-2</v>
      </c>
      <c r="N18" s="112">
        <f>LN(N17/M17)</f>
        <v>1.536545746216181E-2</v>
      </c>
      <c r="O18" s="112">
        <f>LN(O17/N17)</f>
        <v>1.9629574364994219E-2</v>
      </c>
      <c r="P18" s="112">
        <f>AVERAGE(L18:O18)</f>
        <v>1.564702052411563E-2</v>
      </c>
      <c r="Q18" s="32"/>
      <c r="S18" s="415" t="str">
        <f>LEFT(S17,LEN(S17)-3)</f>
        <v>560.53</v>
      </c>
      <c r="T18" s="415" t="str">
        <f t="shared" ref="T18:CE18" si="1">LEFT(T17,LEN(T17)-3)</f>
        <v>567.77</v>
      </c>
      <c r="U18" s="415" t="str">
        <f t="shared" si="1"/>
        <v>567.83</v>
      </c>
      <c r="V18" s="415" t="str">
        <f t="shared" si="1"/>
        <v>570.77</v>
      </c>
      <c r="W18" s="415" t="str">
        <f t="shared" si="1"/>
        <v>573.76</v>
      </c>
      <c r="X18" s="415" t="str">
        <f t="shared" si="1"/>
        <v>575.57</v>
      </c>
      <c r="Y18" s="415" t="str">
        <f t="shared" si="1"/>
        <v>576.99</v>
      </c>
      <c r="Z18" s="415" t="str">
        <f t="shared" si="1"/>
        <v>579.08</v>
      </c>
      <c r="AA18" s="415" t="str">
        <f t="shared" si="1"/>
        <v>580.44</v>
      </c>
      <c r="AB18" s="415" t="str">
        <f t="shared" si="1"/>
        <v>584.44</v>
      </c>
      <c r="AC18" s="415" t="str">
        <f t="shared" si="1"/>
        <v>585.23</v>
      </c>
      <c r="AD18" s="415" t="str">
        <f t="shared" si="1"/>
        <v>588.43</v>
      </c>
      <c r="AE18" s="415" t="str">
        <f t="shared" si="1"/>
        <v>589.81</v>
      </c>
      <c r="AF18" s="415" t="str">
        <f t="shared" si="1"/>
        <v>590.87</v>
      </c>
      <c r="AG18" s="415" t="str">
        <f t="shared" si="1"/>
        <v>588.05</v>
      </c>
      <c r="AH18" s="415" t="str">
        <f t="shared" si="1"/>
        <v>593.11</v>
      </c>
      <c r="AI18" s="415" t="str">
        <f t="shared" si="1"/>
        <v>598.11</v>
      </c>
      <c r="AJ18" s="415" t="str">
        <f t="shared" si="1"/>
        <v>596.75</v>
      </c>
      <c r="AK18" s="415" t="str">
        <f t="shared" si="1"/>
        <v>599.74</v>
      </c>
      <c r="AL18" s="415" t="str">
        <f t="shared" si="1"/>
        <v>603.59</v>
      </c>
      <c r="AM18" s="415" t="str">
        <f t="shared" si="1"/>
        <v>603.43</v>
      </c>
      <c r="AN18" s="415" t="str">
        <f t="shared" si="1"/>
        <v>606.19</v>
      </c>
      <c r="AO18" s="415" t="str">
        <f t="shared" si="1"/>
        <v>606.20</v>
      </c>
      <c r="AP18" s="415" t="str">
        <f t="shared" si="1"/>
        <v>606.98</v>
      </c>
      <c r="AQ18" s="415" t="str">
        <f t="shared" si="1"/>
        <v>608.85</v>
      </c>
      <c r="AR18" s="415" t="str">
        <f t="shared" si="1"/>
        <v>608.64</v>
      </c>
      <c r="AS18" s="415" t="str">
        <f t="shared" si="1"/>
        <v>608.37</v>
      </c>
      <c r="AT18" s="415" t="str">
        <f t="shared" si="1"/>
        <v>611.73</v>
      </c>
      <c r="AU18" s="415" t="str">
        <f t="shared" si="1"/>
        <v>610.23</v>
      </c>
      <c r="AV18" s="415" t="str">
        <f t="shared" si="1"/>
        <v>611.22</v>
      </c>
      <c r="AW18" s="415" t="str">
        <f t="shared" si="1"/>
        <v>613.60</v>
      </c>
      <c r="AX18" s="415" t="str">
        <f t="shared" si="1"/>
        <v>612.12</v>
      </c>
      <c r="AY18" s="415" t="str">
        <f t="shared" si="1"/>
        <v>613.91</v>
      </c>
      <c r="AZ18" s="415" t="str">
        <f t="shared" si="1"/>
        <v>614.54</v>
      </c>
      <c r="BA18" s="415" t="str">
        <f t="shared" si="1"/>
        <v>615.18</v>
      </c>
      <c r="BB18" s="415" t="str">
        <f t="shared" si="1"/>
        <v>616.91</v>
      </c>
      <c r="BC18" s="415" t="str">
        <f t="shared" si="1"/>
        <v>617.54</v>
      </c>
      <c r="BD18" s="415" t="str">
        <f t="shared" si="1"/>
        <v>619.45</v>
      </c>
      <c r="BE18" s="415" t="str">
        <f t="shared" si="1"/>
        <v>624.42</v>
      </c>
      <c r="BF18" s="415" t="str">
        <f t="shared" si="1"/>
        <v>627.55</v>
      </c>
      <c r="BG18" s="415" t="str">
        <f t="shared" si="1"/>
        <v>627.47</v>
      </c>
      <c r="BH18" s="415" t="str">
        <f t="shared" si="1"/>
        <v>629.79</v>
      </c>
      <c r="BI18" s="415" t="str">
        <f t="shared" si="1"/>
        <v>631.65</v>
      </c>
      <c r="BJ18" s="415" t="str">
        <f t="shared" si="1"/>
        <v>629.75</v>
      </c>
      <c r="BK18" s="415" t="str">
        <f t="shared" si="1"/>
        <v>631.92</v>
      </c>
      <c r="BL18" s="415" t="str">
        <f t="shared" si="1"/>
        <v>631.04</v>
      </c>
      <c r="BM18" s="415" t="str">
        <f t="shared" si="1"/>
        <v>632.04</v>
      </c>
      <c r="BN18" s="415" t="str">
        <f t="shared" si="1"/>
        <v>631.85</v>
      </c>
      <c r="BO18" s="415" t="str">
        <f t="shared" si="1"/>
        <v>632.51</v>
      </c>
      <c r="BP18" s="415" t="str">
        <f t="shared" si="1"/>
        <v>631.71</v>
      </c>
      <c r="BQ18" s="415" t="str">
        <f t="shared" si="1"/>
        <v>632.52</v>
      </c>
      <c r="BR18" s="415" t="str">
        <f t="shared" si="1"/>
        <v>628.76</v>
      </c>
      <c r="BS18" s="415" t="str">
        <f t="shared" si="1"/>
        <v>627.92</v>
      </c>
      <c r="BT18" s="415" t="str">
        <f t="shared" si="1"/>
        <v>631.46</v>
      </c>
      <c r="BU18" s="415" t="str">
        <f t="shared" si="1"/>
        <v>631.37</v>
      </c>
      <c r="BV18" s="415" t="str">
        <f t="shared" si="1"/>
        <v>636.62</v>
      </c>
      <c r="BW18" s="415" t="str">
        <f t="shared" si="1"/>
        <v>637.87</v>
      </c>
      <c r="BX18" s="415" t="str">
        <f t="shared" si="1"/>
        <v>634.79</v>
      </c>
      <c r="BY18" s="415" t="str">
        <f t="shared" si="1"/>
        <v>636.71</v>
      </c>
      <c r="BZ18" s="415" t="str">
        <f t="shared" si="1"/>
        <v>645.52</v>
      </c>
      <c r="CA18" s="415" t="str">
        <f t="shared" si="1"/>
        <v>636.10</v>
      </c>
      <c r="CB18" s="415" t="str">
        <f t="shared" si="1"/>
        <v>638.04</v>
      </c>
      <c r="CC18" s="415" t="str">
        <f t="shared" si="1"/>
        <v>641.65</v>
      </c>
      <c r="CD18" s="415" t="str">
        <f t="shared" si="1"/>
        <v>641.52</v>
      </c>
      <c r="CE18" s="415" t="str">
        <f t="shared" si="1"/>
        <v>647.62</v>
      </c>
      <c r="CF18" s="415" t="str">
        <f t="shared" ref="CF18:EH18" si="2">LEFT(CF17,LEN(CF17)-3)</f>
        <v>652.29</v>
      </c>
      <c r="CG18" s="415" t="str">
        <f t="shared" si="2"/>
        <v>652.35</v>
      </c>
      <c r="CH18" s="415" t="str">
        <f t="shared" si="2"/>
        <v>653.31</v>
      </c>
      <c r="CI18" s="415" t="str">
        <f t="shared" si="2"/>
        <v>652.52</v>
      </c>
      <c r="CJ18" s="415" t="str">
        <f t="shared" si="2"/>
        <v>658.18</v>
      </c>
      <c r="CK18" s="415" t="str">
        <f t="shared" si="2"/>
        <v>658.80</v>
      </c>
      <c r="CL18" s="415" t="str">
        <f t="shared" si="2"/>
        <v>659.12</v>
      </c>
      <c r="CM18" s="415" t="str">
        <f t="shared" si="2"/>
        <v>661.06</v>
      </c>
      <c r="CN18" s="415" t="str">
        <f t="shared" si="2"/>
        <v>662.16</v>
      </c>
      <c r="CO18" s="415" t="str">
        <f t="shared" si="2"/>
        <v>661.00</v>
      </c>
      <c r="CP18" s="415" t="str">
        <f t="shared" si="2"/>
        <v>661.84</v>
      </c>
      <c r="CQ18" s="415" t="str">
        <f t="shared" si="2"/>
        <v>669.30</v>
      </c>
      <c r="CR18" s="415" t="str">
        <f t="shared" si="2"/>
        <v>660.14</v>
      </c>
      <c r="CS18" s="415" t="str">
        <f t="shared" si="2"/>
        <v>660.15</v>
      </c>
      <c r="CT18" s="415" t="str">
        <f t="shared" si="2"/>
        <v>660.78</v>
      </c>
      <c r="CU18" s="415" t="str">
        <f t="shared" si="2"/>
        <v>665.70</v>
      </c>
      <c r="CV18" s="415" t="str">
        <f t="shared" si="2"/>
        <v>663.30</v>
      </c>
      <c r="CW18" s="415" t="str">
        <f t="shared" si="2"/>
        <v>669.77</v>
      </c>
      <c r="CX18" s="415" t="str">
        <f t="shared" si="2"/>
        <v>666.89</v>
      </c>
      <c r="CY18" s="415" t="str">
        <f t="shared" si="2"/>
        <v>673.03</v>
      </c>
      <c r="CZ18" s="415" t="str">
        <f t="shared" si="2"/>
        <v>675.61</v>
      </c>
      <c r="DA18" s="415" t="str">
        <f t="shared" si="2"/>
        <v>672.84</v>
      </c>
      <c r="DB18" s="415" t="str">
        <f t="shared" si="2"/>
        <v>674.36</v>
      </c>
      <c r="DC18" s="415" t="str">
        <f t="shared" si="2"/>
        <v>669.97</v>
      </c>
      <c r="DD18" s="415" t="str">
        <f t="shared" si="2"/>
        <v>670.05</v>
      </c>
      <c r="DE18" s="415" t="str">
        <f t="shared" si="2"/>
        <v>667.01</v>
      </c>
      <c r="DF18" s="415" t="str">
        <f t="shared" si="2"/>
        <v>670.41</v>
      </c>
      <c r="DG18" s="415" t="str">
        <f t="shared" si="2"/>
        <v>670.32</v>
      </c>
      <c r="DH18" s="415" t="str">
        <f t="shared" si="2"/>
        <v>675.97</v>
      </c>
      <c r="DI18" s="415" t="str">
        <f t="shared" si="2"/>
        <v>674.08</v>
      </c>
      <c r="DJ18" s="415" t="str">
        <f t="shared" si="2"/>
        <v>676.71</v>
      </c>
      <c r="DK18" s="415" t="str">
        <f t="shared" si="2"/>
        <v>675.36</v>
      </c>
      <c r="DL18" s="415" t="str">
        <f t="shared" si="2"/>
        <v>675.70</v>
      </c>
      <c r="DM18" s="415" t="str">
        <f t="shared" si="2"/>
        <v>677.45</v>
      </c>
      <c r="DN18" s="415" t="str">
        <f t="shared" si="2"/>
        <v>679.60</v>
      </c>
      <c r="DO18" s="415" t="str">
        <f t="shared" si="2"/>
        <v>684.35</v>
      </c>
      <c r="DP18" s="415" t="str">
        <f t="shared" si="2"/>
        <v>684.20</v>
      </c>
      <c r="DQ18" s="415" t="str">
        <f t="shared" si="2"/>
        <v>687.87</v>
      </c>
      <c r="DR18" s="415" t="str">
        <f t="shared" si="2"/>
        <v>686.56</v>
      </c>
      <c r="DS18" s="415" t="str">
        <f t="shared" si="2"/>
        <v>686.46</v>
      </c>
      <c r="DT18" s="415" t="str">
        <f t="shared" si="2"/>
        <v>687.02</v>
      </c>
      <c r="DU18" s="415" t="str">
        <f t="shared" si="2"/>
        <v>686.22</v>
      </c>
      <c r="DV18" s="415" t="str">
        <f t="shared" si="2"/>
        <v>691.02</v>
      </c>
      <c r="DW18" s="415" t="str">
        <f t="shared" si="2"/>
        <v>692.50</v>
      </c>
      <c r="DX18" s="415" t="str">
        <f t="shared" si="2"/>
        <v>694.79</v>
      </c>
      <c r="DY18" s="415" t="str">
        <f t="shared" si="2"/>
        <v>695.61</v>
      </c>
      <c r="DZ18" s="415" t="str">
        <f t="shared" si="2"/>
        <v>697.48</v>
      </c>
      <c r="EA18" s="415" t="str">
        <f t="shared" si="2"/>
        <v>698.65</v>
      </c>
      <c r="EB18" s="415" t="str">
        <f t="shared" si="2"/>
        <v>699.54</v>
      </c>
      <c r="EC18" s="415" t="str">
        <f t="shared" si="2"/>
        <v>701.24</v>
      </c>
      <c r="ED18" s="415" t="str">
        <f t="shared" si="2"/>
        <v>703.40</v>
      </c>
      <c r="EE18" s="415" t="str">
        <f t="shared" si="2"/>
        <v>703.73</v>
      </c>
      <c r="EF18" s="415" t="str">
        <f t="shared" si="2"/>
        <v>702.90</v>
      </c>
      <c r="EG18" s="415" t="str">
        <f t="shared" si="2"/>
        <v>704.07</v>
      </c>
      <c r="EH18" s="415" t="str">
        <f t="shared" si="2"/>
        <v>705.23</v>
      </c>
    </row>
    <row r="19" spans="1:138" ht="13.5" thickBot="1">
      <c r="B19" s="48" t="s">
        <v>50</v>
      </c>
      <c r="Q19" s="32"/>
      <c r="S19" s="403">
        <v>560.53</v>
      </c>
      <c r="T19" s="403">
        <v>567.77</v>
      </c>
      <c r="U19" s="403">
        <v>567.83000000000004</v>
      </c>
      <c r="V19" s="403">
        <v>570.77</v>
      </c>
      <c r="W19" s="403">
        <v>573.76</v>
      </c>
      <c r="X19" s="403">
        <v>575.57000000000005</v>
      </c>
      <c r="Y19" s="403">
        <v>576.99</v>
      </c>
      <c r="Z19" s="403">
        <v>579.08000000000004</v>
      </c>
      <c r="AA19" s="403">
        <v>580.44000000000005</v>
      </c>
      <c r="AB19" s="403">
        <v>584.44000000000005</v>
      </c>
      <c r="AC19" s="403">
        <v>585.23</v>
      </c>
      <c r="AD19" s="403">
        <v>588.42999999999995</v>
      </c>
      <c r="AE19" s="403">
        <v>589.80999999999995</v>
      </c>
      <c r="AF19" s="403">
        <v>590.87</v>
      </c>
      <c r="AG19" s="403">
        <v>588.04999999999995</v>
      </c>
      <c r="AH19" s="403">
        <v>593.11</v>
      </c>
      <c r="AI19" s="403">
        <v>598.11</v>
      </c>
      <c r="AJ19" s="403">
        <v>596.75</v>
      </c>
      <c r="AK19" s="403">
        <v>599.74</v>
      </c>
      <c r="AL19" s="403">
        <v>603.59</v>
      </c>
      <c r="AM19" s="403">
        <v>603.42999999999995</v>
      </c>
      <c r="AN19" s="403">
        <v>606.19000000000005</v>
      </c>
      <c r="AO19" s="403">
        <v>606.20000000000005</v>
      </c>
      <c r="AP19" s="403">
        <v>606.98</v>
      </c>
      <c r="AQ19" s="403">
        <v>608.85</v>
      </c>
      <c r="AR19" s="403">
        <v>608.64</v>
      </c>
      <c r="AS19" s="403">
        <v>608.37</v>
      </c>
      <c r="AT19" s="403">
        <v>611.73</v>
      </c>
      <c r="AU19" s="403">
        <v>610.23</v>
      </c>
      <c r="AV19" s="403">
        <v>611.22</v>
      </c>
      <c r="AW19" s="403">
        <v>613.6</v>
      </c>
      <c r="AX19" s="403">
        <v>612.12</v>
      </c>
      <c r="AY19" s="403">
        <v>613.91</v>
      </c>
      <c r="AZ19" s="403">
        <v>614.54</v>
      </c>
      <c r="BA19" s="403">
        <v>615.17999999999995</v>
      </c>
      <c r="BB19" s="403">
        <v>616.91</v>
      </c>
      <c r="BC19" s="403">
        <v>617.54</v>
      </c>
      <c r="BD19" s="403">
        <v>619.45000000000005</v>
      </c>
      <c r="BE19" s="403">
        <v>624.41999999999996</v>
      </c>
      <c r="BF19" s="403">
        <v>627.54999999999995</v>
      </c>
      <c r="BG19" s="403">
        <v>627.47</v>
      </c>
      <c r="BH19" s="403">
        <v>629.79</v>
      </c>
      <c r="BI19" s="403">
        <v>631.65</v>
      </c>
      <c r="BJ19" s="403">
        <v>629.75</v>
      </c>
      <c r="BK19" s="403">
        <v>631.91999999999996</v>
      </c>
      <c r="BL19" s="403">
        <v>631.04</v>
      </c>
      <c r="BM19" s="403">
        <v>632.04</v>
      </c>
      <c r="BN19" s="403">
        <v>631.85</v>
      </c>
      <c r="BO19" s="403">
        <v>632.51</v>
      </c>
      <c r="BP19" s="403">
        <v>631.71</v>
      </c>
      <c r="BQ19" s="403">
        <v>632.52</v>
      </c>
      <c r="BR19" s="403">
        <v>628.76</v>
      </c>
      <c r="BS19" s="403">
        <v>627.91999999999996</v>
      </c>
      <c r="BT19" s="403">
        <v>631.46</v>
      </c>
      <c r="BU19" s="403">
        <v>631.37</v>
      </c>
      <c r="BV19" s="403">
        <v>636.62</v>
      </c>
      <c r="BW19" s="403">
        <v>637.87</v>
      </c>
      <c r="BX19" s="403">
        <v>634.79</v>
      </c>
      <c r="BY19" s="403">
        <v>636.71</v>
      </c>
      <c r="BZ19" s="403">
        <v>645.52</v>
      </c>
      <c r="CA19" s="403">
        <v>636.1</v>
      </c>
      <c r="CB19" s="403">
        <v>638.04</v>
      </c>
      <c r="CC19" s="403">
        <v>641.65</v>
      </c>
      <c r="CD19" s="403">
        <v>641.52</v>
      </c>
      <c r="CE19" s="403">
        <v>647.62</v>
      </c>
      <c r="CF19" s="403">
        <v>652.29</v>
      </c>
      <c r="CG19" s="403">
        <v>652.35</v>
      </c>
      <c r="CH19" s="403">
        <v>653.30999999999995</v>
      </c>
      <c r="CI19" s="403">
        <v>652.52</v>
      </c>
      <c r="CJ19" s="403">
        <v>658.18</v>
      </c>
      <c r="CK19" s="403">
        <v>658.8</v>
      </c>
      <c r="CL19" s="403">
        <v>659.12</v>
      </c>
      <c r="CM19" s="403">
        <v>661.06</v>
      </c>
      <c r="CN19" s="403">
        <v>662.16</v>
      </c>
      <c r="CO19" s="403">
        <v>661</v>
      </c>
      <c r="CP19" s="403">
        <v>661.84</v>
      </c>
      <c r="CQ19" s="403">
        <v>669.3</v>
      </c>
      <c r="CR19" s="403">
        <v>660.14</v>
      </c>
      <c r="CS19" s="403">
        <v>660.15</v>
      </c>
      <c r="CT19" s="403">
        <v>660.78</v>
      </c>
      <c r="CU19" s="403">
        <v>665.7</v>
      </c>
      <c r="CV19" s="403">
        <v>663.3</v>
      </c>
      <c r="CW19" s="403">
        <v>669.77</v>
      </c>
      <c r="CX19" s="403">
        <v>666.89</v>
      </c>
      <c r="CY19" s="403">
        <v>673.03</v>
      </c>
      <c r="CZ19" s="403">
        <v>675.61</v>
      </c>
      <c r="DA19" s="403">
        <v>672.84</v>
      </c>
      <c r="DB19" s="403">
        <v>674.36</v>
      </c>
      <c r="DC19" s="403">
        <v>669.97</v>
      </c>
      <c r="DD19" s="403">
        <v>670.05</v>
      </c>
      <c r="DE19" s="403">
        <v>667.01</v>
      </c>
      <c r="DF19" s="403">
        <v>670.41</v>
      </c>
      <c r="DG19" s="403">
        <v>670.32</v>
      </c>
      <c r="DH19" s="403">
        <v>675.97</v>
      </c>
      <c r="DI19" s="403">
        <v>674.08</v>
      </c>
      <c r="DJ19" s="403">
        <v>676.71</v>
      </c>
      <c r="DK19" s="403">
        <v>675.36</v>
      </c>
      <c r="DL19" s="403">
        <v>675.7</v>
      </c>
      <c r="DM19" s="403">
        <v>677.45</v>
      </c>
      <c r="DN19" s="403">
        <v>679.6</v>
      </c>
      <c r="DO19" s="403">
        <v>684.35</v>
      </c>
      <c r="DP19" s="403">
        <v>684.2</v>
      </c>
      <c r="DQ19" s="403">
        <v>687.87</v>
      </c>
      <c r="DR19" s="403">
        <v>686.56</v>
      </c>
      <c r="DS19" s="403">
        <v>686.46</v>
      </c>
      <c r="DT19" s="403">
        <v>687.02</v>
      </c>
      <c r="DU19" s="403">
        <v>686.22</v>
      </c>
      <c r="DV19" s="403">
        <v>691.02</v>
      </c>
      <c r="DW19" s="403">
        <v>692.5</v>
      </c>
      <c r="DX19" s="403">
        <v>694.79</v>
      </c>
      <c r="DY19" s="403">
        <v>695.61</v>
      </c>
      <c r="DZ19" s="403">
        <v>697.48</v>
      </c>
      <c r="EA19" s="403">
        <v>698.65</v>
      </c>
      <c r="EB19" s="403">
        <v>699.54</v>
      </c>
      <c r="EC19" s="403">
        <v>701.24</v>
      </c>
      <c r="ED19" s="403">
        <v>703.4</v>
      </c>
      <c r="EE19" s="403">
        <v>703.73</v>
      </c>
      <c r="EF19" s="403">
        <v>702.9</v>
      </c>
      <c r="EG19" s="403">
        <v>704.07</v>
      </c>
      <c r="EH19" s="403">
        <v>705.23</v>
      </c>
    </row>
    <row r="20" spans="1:138" ht="13.5" thickBot="1">
      <c r="B20" s="44">
        <v>2001</v>
      </c>
      <c r="C20" s="44">
        <v>2002</v>
      </c>
      <c r="D20" s="44">
        <v>2003</v>
      </c>
      <c r="E20" s="44">
        <v>2004</v>
      </c>
      <c r="F20" s="44">
        <v>2005</v>
      </c>
      <c r="G20" s="44">
        <v>2006</v>
      </c>
      <c r="H20" s="44">
        <v>2007</v>
      </c>
      <c r="I20" s="44">
        <v>2008</v>
      </c>
      <c r="J20" s="44">
        <v>2009</v>
      </c>
      <c r="K20" s="44">
        <v>2010</v>
      </c>
      <c r="L20" s="44">
        <v>2011</v>
      </c>
      <c r="M20" s="44">
        <v>2012</v>
      </c>
      <c r="N20" s="44">
        <v>2013</v>
      </c>
      <c r="O20" s="44">
        <v>2014</v>
      </c>
      <c r="Q20" s="32"/>
    </row>
    <row r="21" spans="1:138" ht="13.5" thickBot="1">
      <c r="A21" s="18" t="s">
        <v>49</v>
      </c>
      <c r="B21" s="401">
        <v>1306.79</v>
      </c>
      <c r="C21" s="401">
        <v>1385.59</v>
      </c>
      <c r="D21" s="401">
        <v>1441.31</v>
      </c>
      <c r="E21" s="401">
        <v>1420.13</v>
      </c>
      <c r="F21" s="401">
        <v>1449.84</v>
      </c>
      <c r="G21" s="401">
        <v>1488.34</v>
      </c>
      <c r="H21" s="401">
        <v>1577.41</v>
      </c>
      <c r="I21" s="401">
        <v>1544.3</v>
      </c>
      <c r="J21" s="400" t="s">
        <v>333</v>
      </c>
      <c r="K21" s="400" t="s">
        <v>334</v>
      </c>
      <c r="L21" s="400" t="s">
        <v>335</v>
      </c>
      <c r="M21" s="400" t="s">
        <v>336</v>
      </c>
      <c r="N21" s="400" t="s">
        <v>337</v>
      </c>
      <c r="O21" s="400" t="s">
        <v>338</v>
      </c>
      <c r="Q21" s="32"/>
    </row>
    <row r="22" spans="1:138" ht="13.5" thickBot="1">
      <c r="B22" s="401">
        <v>1306.79</v>
      </c>
      <c r="C22" s="401">
        <v>1385.59</v>
      </c>
      <c r="D22" s="401">
        <v>1441.31</v>
      </c>
      <c r="E22" s="401">
        <v>1420.13</v>
      </c>
      <c r="F22" s="401">
        <v>1449.84</v>
      </c>
      <c r="G22" s="401">
        <v>1488.34</v>
      </c>
      <c r="H22" s="401">
        <v>1577.41</v>
      </c>
      <c r="I22" s="401">
        <v>1544.3</v>
      </c>
      <c r="J22" s="401">
        <v>1672.72</v>
      </c>
      <c r="K22" s="401">
        <v>1680.01</v>
      </c>
      <c r="L22" s="401">
        <v>1714.92</v>
      </c>
      <c r="M22" s="401">
        <v>1707.11</v>
      </c>
      <c r="N22" s="400">
        <v>1758.79</v>
      </c>
      <c r="O22" s="400">
        <v>1915.37</v>
      </c>
      <c r="Q22" s="32"/>
      <c r="S22" s="43" t="s">
        <v>51</v>
      </c>
    </row>
    <row r="23" spans="1:138" ht="13.5" thickBot="1">
      <c r="C23" s="112">
        <f t="shared" ref="C23:L23" si="3">LN(C22/B22)</f>
        <v>5.8552293274801361E-2</v>
      </c>
      <c r="D23" s="112">
        <f t="shared" si="3"/>
        <v>3.9426380553738927E-2</v>
      </c>
      <c r="E23" s="112">
        <f t="shared" si="3"/>
        <v>-1.4804005545096815E-2</v>
      </c>
      <c r="F23" s="112">
        <f t="shared" si="3"/>
        <v>2.0704788797895404E-2</v>
      </c>
      <c r="G23" s="112">
        <f t="shared" si="3"/>
        <v>2.6208199417176954E-2</v>
      </c>
      <c r="H23" s="112">
        <f t="shared" si="3"/>
        <v>5.8122856574111946E-2</v>
      </c>
      <c r="I23" s="112">
        <f t="shared" si="3"/>
        <v>-2.1213528260928972E-2</v>
      </c>
      <c r="J23" s="112">
        <f t="shared" si="3"/>
        <v>7.9880310734212395E-2</v>
      </c>
      <c r="K23" s="112">
        <f t="shared" si="3"/>
        <v>4.3487017973739923E-3</v>
      </c>
      <c r="L23" s="112">
        <f t="shared" si="3"/>
        <v>2.0566686521162014E-2</v>
      </c>
      <c r="M23" s="112">
        <f>LN(M22/L22)</f>
        <v>-4.5645500245083065E-3</v>
      </c>
      <c r="N23" s="112">
        <f>LN(N22/M22)</f>
        <v>2.9824190338504156E-2</v>
      </c>
      <c r="O23" s="112">
        <f>LN(O22/N22)</f>
        <v>8.5284742844361675E-2</v>
      </c>
      <c r="P23" s="112">
        <f>AVERAGE(L23:O23)</f>
        <v>3.277776741987988E-2</v>
      </c>
      <c r="Q23" s="32"/>
      <c r="S23" s="45">
        <v>1991</v>
      </c>
      <c r="T23" s="45">
        <v>1991</v>
      </c>
      <c r="U23" s="45">
        <v>1991</v>
      </c>
      <c r="V23" s="45">
        <v>1991</v>
      </c>
      <c r="W23" s="45">
        <v>1991</v>
      </c>
      <c r="X23" s="45">
        <v>1991</v>
      </c>
      <c r="Y23" s="45">
        <v>1991</v>
      </c>
      <c r="Z23" s="45">
        <v>1991</v>
      </c>
      <c r="AA23" s="45">
        <v>1991</v>
      </c>
      <c r="AB23" s="45">
        <v>1991</v>
      </c>
      <c r="AC23" s="45">
        <v>1991</v>
      </c>
      <c r="AD23" s="45">
        <v>1991</v>
      </c>
      <c r="AE23" s="45">
        <v>1992</v>
      </c>
      <c r="AF23" s="45">
        <v>1992</v>
      </c>
      <c r="AG23" s="45">
        <v>1992</v>
      </c>
      <c r="AH23" s="45">
        <v>1992</v>
      </c>
      <c r="AI23" s="45">
        <v>1992</v>
      </c>
      <c r="AJ23" s="45">
        <v>1992</v>
      </c>
      <c r="AK23" s="45">
        <v>1992</v>
      </c>
      <c r="AL23" s="45">
        <v>1992</v>
      </c>
      <c r="AM23" s="45">
        <v>1992</v>
      </c>
      <c r="AN23" s="45">
        <v>1992</v>
      </c>
      <c r="AO23" s="45">
        <v>1992</v>
      </c>
      <c r="AP23" s="45">
        <v>1992</v>
      </c>
      <c r="AQ23" s="45">
        <v>1993</v>
      </c>
      <c r="AR23" s="45">
        <v>1993</v>
      </c>
      <c r="AS23" s="45">
        <v>1993</v>
      </c>
      <c r="AT23" s="45">
        <v>1993</v>
      </c>
      <c r="AU23" s="45">
        <v>1993</v>
      </c>
      <c r="AV23" s="45">
        <v>1993</v>
      </c>
      <c r="AW23" s="45">
        <v>1993</v>
      </c>
      <c r="AX23" s="45">
        <v>1993</v>
      </c>
      <c r="AY23" s="45">
        <v>1993</v>
      </c>
      <c r="AZ23" s="45">
        <v>1993</v>
      </c>
      <c r="BA23" s="45">
        <v>1993</v>
      </c>
      <c r="BB23" s="45">
        <v>1993</v>
      </c>
      <c r="BC23" s="45">
        <v>1994</v>
      </c>
      <c r="BD23" s="45">
        <v>1994</v>
      </c>
      <c r="BE23" s="45">
        <v>1994</v>
      </c>
      <c r="BF23" s="45">
        <v>1994</v>
      </c>
      <c r="BG23" s="45">
        <v>1994</v>
      </c>
      <c r="BH23" s="45">
        <v>1994</v>
      </c>
      <c r="BI23" s="45">
        <v>1994</v>
      </c>
      <c r="BJ23" s="45">
        <v>1994</v>
      </c>
      <c r="BK23" s="45">
        <v>1994</v>
      </c>
      <c r="BL23" s="45">
        <v>1994</v>
      </c>
      <c r="BM23" s="45">
        <v>1994</v>
      </c>
      <c r="BN23" s="45">
        <v>1994</v>
      </c>
      <c r="BO23" s="45">
        <v>1995</v>
      </c>
      <c r="BP23" s="45">
        <v>1995</v>
      </c>
      <c r="BQ23" s="45">
        <v>1995</v>
      </c>
      <c r="BR23" s="45">
        <v>1995</v>
      </c>
      <c r="BS23" s="45">
        <v>1995</v>
      </c>
      <c r="BT23" s="45">
        <v>1995</v>
      </c>
      <c r="BU23" s="45">
        <v>1995</v>
      </c>
      <c r="BV23" s="45">
        <v>1995</v>
      </c>
      <c r="BW23" s="45">
        <v>1995</v>
      </c>
      <c r="BX23" s="45">
        <v>1995</v>
      </c>
      <c r="BY23" s="45">
        <v>1995</v>
      </c>
      <c r="BZ23" s="45">
        <v>1995</v>
      </c>
      <c r="CA23" s="45">
        <v>1996</v>
      </c>
      <c r="CB23" s="45">
        <v>1996</v>
      </c>
      <c r="CC23" s="45">
        <v>1996</v>
      </c>
      <c r="CD23" s="45">
        <v>1996</v>
      </c>
      <c r="CE23" s="45">
        <v>1996</v>
      </c>
      <c r="CF23" s="45">
        <v>1996</v>
      </c>
      <c r="CG23" s="45">
        <v>1996</v>
      </c>
      <c r="CH23" s="45">
        <v>1996</v>
      </c>
      <c r="CI23" s="45">
        <v>1996</v>
      </c>
      <c r="CJ23" s="45">
        <v>1996</v>
      </c>
      <c r="CK23" s="45">
        <v>1996</v>
      </c>
      <c r="CL23" s="45">
        <v>1996</v>
      </c>
      <c r="CM23" s="45">
        <v>1997</v>
      </c>
      <c r="CN23" s="45">
        <v>1997</v>
      </c>
      <c r="CO23" s="45">
        <v>1997</v>
      </c>
      <c r="CP23" s="45">
        <v>1997</v>
      </c>
      <c r="CQ23" s="45">
        <v>1997</v>
      </c>
      <c r="CR23" s="45">
        <v>1997</v>
      </c>
      <c r="CS23" s="45">
        <v>1997</v>
      </c>
      <c r="CT23" s="45">
        <v>1997</v>
      </c>
      <c r="CU23" s="45">
        <v>1997</v>
      </c>
      <c r="CV23" s="45">
        <v>1997</v>
      </c>
      <c r="CW23" s="45">
        <v>1997</v>
      </c>
      <c r="CX23" s="45">
        <v>1997</v>
      </c>
      <c r="CY23" s="45">
        <v>1998</v>
      </c>
      <c r="CZ23" s="45">
        <v>1998</v>
      </c>
      <c r="DA23" s="45">
        <v>1998</v>
      </c>
      <c r="DB23" s="45">
        <v>1998</v>
      </c>
      <c r="DC23" s="45">
        <v>1998</v>
      </c>
      <c r="DD23" s="45">
        <v>1998</v>
      </c>
      <c r="DE23" s="45">
        <v>1998</v>
      </c>
      <c r="DF23" s="45">
        <v>1998</v>
      </c>
      <c r="DG23" s="45">
        <v>1998</v>
      </c>
      <c r="DH23" s="45">
        <v>1998</v>
      </c>
      <c r="DI23" s="45">
        <v>1998</v>
      </c>
      <c r="DJ23" s="45">
        <v>1998</v>
      </c>
      <c r="DK23" s="45">
        <v>1999</v>
      </c>
      <c r="DL23" s="45">
        <v>1999</v>
      </c>
      <c r="DM23" s="45">
        <v>1999</v>
      </c>
      <c r="DN23" s="45">
        <v>1999</v>
      </c>
      <c r="DO23" s="45">
        <v>1999</v>
      </c>
      <c r="DP23" s="45">
        <v>1999</v>
      </c>
      <c r="DQ23" s="45">
        <v>1999</v>
      </c>
      <c r="DR23" s="45">
        <v>1999</v>
      </c>
      <c r="DS23" s="45">
        <v>1999</v>
      </c>
      <c r="DT23" s="45">
        <v>1999</v>
      </c>
      <c r="DU23" s="45">
        <v>1999</v>
      </c>
      <c r="DV23" s="45">
        <v>1999</v>
      </c>
      <c r="DW23" s="45">
        <v>2000</v>
      </c>
      <c r="DX23" s="45">
        <v>2000</v>
      </c>
      <c r="DY23" s="45">
        <v>2000</v>
      </c>
      <c r="DZ23" s="45">
        <v>2000</v>
      </c>
      <c r="EA23" s="45">
        <v>2000</v>
      </c>
      <c r="EB23" s="45">
        <v>2000</v>
      </c>
      <c r="EC23" s="45">
        <v>2000</v>
      </c>
      <c r="ED23" s="45">
        <v>2000</v>
      </c>
      <c r="EE23" s="45">
        <v>2000</v>
      </c>
      <c r="EF23" s="45">
        <v>2000</v>
      </c>
      <c r="EG23" s="45">
        <v>2000</v>
      </c>
      <c r="EH23" s="45">
        <v>2000</v>
      </c>
    </row>
    <row r="24" spans="1:138" ht="13.5" thickBot="1">
      <c r="Q24" s="32"/>
      <c r="S24" s="46">
        <v>1</v>
      </c>
      <c r="T24" s="46">
        <v>2</v>
      </c>
      <c r="U24" s="46">
        <v>3</v>
      </c>
      <c r="V24" s="46">
        <v>4</v>
      </c>
      <c r="W24" s="46">
        <v>5</v>
      </c>
      <c r="X24" s="46">
        <v>6</v>
      </c>
      <c r="Y24" s="46">
        <v>7</v>
      </c>
      <c r="Z24" s="46">
        <v>8</v>
      </c>
      <c r="AA24" s="46">
        <v>9</v>
      </c>
      <c r="AB24" s="46">
        <v>10</v>
      </c>
      <c r="AC24" s="46">
        <v>11</v>
      </c>
      <c r="AD24" s="46">
        <v>12</v>
      </c>
      <c r="AE24" s="46">
        <v>1</v>
      </c>
      <c r="AF24" s="46">
        <v>2</v>
      </c>
      <c r="AG24" s="46">
        <v>3</v>
      </c>
      <c r="AH24" s="46">
        <v>4</v>
      </c>
      <c r="AI24" s="46">
        <v>5</v>
      </c>
      <c r="AJ24" s="46">
        <v>6</v>
      </c>
      <c r="AK24" s="46">
        <v>7</v>
      </c>
      <c r="AL24" s="46">
        <v>8</v>
      </c>
      <c r="AM24" s="46">
        <v>9</v>
      </c>
      <c r="AN24" s="46">
        <v>10</v>
      </c>
      <c r="AO24" s="46">
        <v>11</v>
      </c>
      <c r="AP24" s="46">
        <v>12</v>
      </c>
      <c r="AQ24" s="46">
        <v>1</v>
      </c>
      <c r="AR24" s="46">
        <v>2</v>
      </c>
      <c r="AS24" s="46">
        <v>3</v>
      </c>
      <c r="AT24" s="46">
        <v>4</v>
      </c>
      <c r="AU24" s="46">
        <v>5</v>
      </c>
      <c r="AV24" s="46">
        <v>6</v>
      </c>
      <c r="AW24" s="46">
        <v>7</v>
      </c>
      <c r="AX24" s="46">
        <v>8</v>
      </c>
      <c r="AY24" s="46">
        <v>9</v>
      </c>
      <c r="AZ24" s="46">
        <v>10</v>
      </c>
      <c r="BA24" s="46">
        <v>11</v>
      </c>
      <c r="BB24" s="46">
        <v>12</v>
      </c>
      <c r="BC24" s="46">
        <v>1</v>
      </c>
      <c r="BD24" s="46">
        <v>2</v>
      </c>
      <c r="BE24" s="46">
        <v>3</v>
      </c>
      <c r="BF24" s="46">
        <v>4</v>
      </c>
      <c r="BG24" s="46">
        <v>5</v>
      </c>
      <c r="BH24" s="46">
        <v>6</v>
      </c>
      <c r="BI24" s="46">
        <v>7</v>
      </c>
      <c r="BJ24" s="46">
        <v>8</v>
      </c>
      <c r="BK24" s="46">
        <v>9</v>
      </c>
      <c r="BL24" s="46">
        <v>10</v>
      </c>
      <c r="BM24" s="46">
        <v>11</v>
      </c>
      <c r="BN24" s="46">
        <v>12</v>
      </c>
      <c r="BO24" s="46">
        <v>1</v>
      </c>
      <c r="BP24" s="46">
        <v>2</v>
      </c>
      <c r="BQ24" s="46">
        <v>3</v>
      </c>
      <c r="BR24" s="46">
        <v>4</v>
      </c>
      <c r="BS24" s="46">
        <v>5</v>
      </c>
      <c r="BT24" s="46">
        <v>6</v>
      </c>
      <c r="BU24" s="46">
        <v>7</v>
      </c>
      <c r="BV24" s="46">
        <v>8</v>
      </c>
      <c r="BW24" s="46">
        <v>9</v>
      </c>
      <c r="BX24" s="46">
        <v>10</v>
      </c>
      <c r="BY24" s="46">
        <v>11</v>
      </c>
      <c r="BZ24" s="46">
        <v>12</v>
      </c>
      <c r="CA24" s="46">
        <v>1</v>
      </c>
      <c r="CB24" s="46">
        <v>2</v>
      </c>
      <c r="CC24" s="46">
        <v>3</v>
      </c>
      <c r="CD24" s="46">
        <v>4</v>
      </c>
      <c r="CE24" s="46">
        <v>5</v>
      </c>
      <c r="CF24" s="46">
        <v>6</v>
      </c>
      <c r="CG24" s="46">
        <v>7</v>
      </c>
      <c r="CH24" s="46">
        <v>8</v>
      </c>
      <c r="CI24" s="46">
        <v>9</v>
      </c>
      <c r="CJ24" s="46">
        <v>10</v>
      </c>
      <c r="CK24" s="46">
        <v>11</v>
      </c>
      <c r="CL24" s="46">
        <v>12</v>
      </c>
      <c r="CM24" s="46">
        <v>1</v>
      </c>
      <c r="CN24" s="46">
        <v>2</v>
      </c>
      <c r="CO24" s="46">
        <v>3</v>
      </c>
      <c r="CP24" s="46">
        <v>4</v>
      </c>
      <c r="CQ24" s="46">
        <v>5</v>
      </c>
      <c r="CR24" s="46">
        <v>6</v>
      </c>
      <c r="CS24" s="46">
        <v>7</v>
      </c>
      <c r="CT24" s="46">
        <v>8</v>
      </c>
      <c r="CU24" s="46">
        <v>9</v>
      </c>
      <c r="CV24" s="46">
        <v>10</v>
      </c>
      <c r="CW24" s="46">
        <v>11</v>
      </c>
      <c r="CX24" s="46">
        <v>12</v>
      </c>
      <c r="CY24" s="46">
        <v>1</v>
      </c>
      <c r="CZ24" s="46">
        <v>2</v>
      </c>
      <c r="DA24" s="46">
        <v>3</v>
      </c>
      <c r="DB24" s="46">
        <v>4</v>
      </c>
      <c r="DC24" s="46">
        <v>5</v>
      </c>
      <c r="DD24" s="46">
        <v>6</v>
      </c>
      <c r="DE24" s="46">
        <v>7</v>
      </c>
      <c r="DF24" s="46">
        <v>8</v>
      </c>
      <c r="DG24" s="46">
        <v>9</v>
      </c>
      <c r="DH24" s="46">
        <v>10</v>
      </c>
      <c r="DI24" s="46">
        <v>11</v>
      </c>
      <c r="DJ24" s="46">
        <v>12</v>
      </c>
      <c r="DK24" s="46">
        <v>1</v>
      </c>
      <c r="DL24" s="46">
        <v>2</v>
      </c>
      <c r="DM24" s="46">
        <v>3</v>
      </c>
      <c r="DN24" s="46">
        <v>4</v>
      </c>
      <c r="DO24" s="46">
        <v>5</v>
      </c>
      <c r="DP24" s="46">
        <v>6</v>
      </c>
      <c r="DQ24" s="46">
        <v>7</v>
      </c>
      <c r="DR24" s="46">
        <v>8</v>
      </c>
      <c r="DS24" s="46">
        <v>9</v>
      </c>
      <c r="DT24" s="46">
        <v>10</v>
      </c>
      <c r="DU24" s="46">
        <v>11</v>
      </c>
      <c r="DV24" s="46">
        <v>12</v>
      </c>
      <c r="DW24" s="46">
        <v>1</v>
      </c>
      <c r="DX24" s="46">
        <v>2</v>
      </c>
      <c r="DY24" s="46">
        <v>3</v>
      </c>
      <c r="DZ24" s="46">
        <v>4</v>
      </c>
      <c r="EA24" s="46">
        <v>5</v>
      </c>
      <c r="EB24" s="46">
        <v>6</v>
      </c>
      <c r="EC24" s="46">
        <v>7</v>
      </c>
      <c r="ED24" s="46">
        <v>8</v>
      </c>
      <c r="EE24" s="46">
        <v>9</v>
      </c>
      <c r="EF24" s="46">
        <v>10</v>
      </c>
      <c r="EG24" s="46">
        <v>11</v>
      </c>
      <c r="EH24" s="46">
        <v>12</v>
      </c>
    </row>
    <row r="25" spans="1:138" ht="13.5" thickBot="1">
      <c r="B25" s="49" t="s">
        <v>52</v>
      </c>
      <c r="C25" s="50" t="s">
        <v>53</v>
      </c>
      <c r="D25" s="50" t="s">
        <v>54</v>
      </c>
      <c r="Q25" s="32"/>
      <c r="R25" s="47" t="s">
        <v>49</v>
      </c>
      <c r="S25" s="402" t="s">
        <v>459</v>
      </c>
      <c r="T25" s="402" t="s">
        <v>460</v>
      </c>
      <c r="U25" s="402" t="s">
        <v>461</v>
      </c>
      <c r="V25" s="402" t="s">
        <v>462</v>
      </c>
      <c r="W25" s="402" t="s">
        <v>463</v>
      </c>
      <c r="X25" s="402" t="s">
        <v>464</v>
      </c>
      <c r="Y25" s="402" t="s">
        <v>465</v>
      </c>
      <c r="Z25" s="402" t="s">
        <v>466</v>
      </c>
      <c r="AA25" s="402" t="s">
        <v>467</v>
      </c>
      <c r="AB25" s="402" t="s">
        <v>468</v>
      </c>
      <c r="AC25" s="402" t="s">
        <v>469</v>
      </c>
      <c r="AD25" s="402" t="s">
        <v>470</v>
      </c>
      <c r="AE25" s="402" t="s">
        <v>471</v>
      </c>
      <c r="AF25" s="402" t="s">
        <v>472</v>
      </c>
      <c r="AG25" s="402" t="s">
        <v>473</v>
      </c>
      <c r="AH25" s="402" t="s">
        <v>474</v>
      </c>
      <c r="AI25" s="402" t="s">
        <v>475</v>
      </c>
      <c r="AJ25" s="402" t="s">
        <v>476</v>
      </c>
      <c r="AK25" s="402" t="s">
        <v>477</v>
      </c>
      <c r="AL25" s="402" t="s">
        <v>478</v>
      </c>
      <c r="AM25" s="402" t="s">
        <v>479</v>
      </c>
      <c r="AN25" s="402" t="s">
        <v>480</v>
      </c>
      <c r="AO25" s="402" t="s">
        <v>481</v>
      </c>
      <c r="AP25" s="402" t="s">
        <v>482</v>
      </c>
      <c r="AQ25" s="402" t="s">
        <v>483</v>
      </c>
      <c r="AR25" s="402" t="s">
        <v>484</v>
      </c>
      <c r="AS25" s="402" t="s">
        <v>485</v>
      </c>
      <c r="AT25" s="402" t="s">
        <v>486</v>
      </c>
      <c r="AU25" s="402" t="s">
        <v>487</v>
      </c>
      <c r="AV25" s="402" t="s">
        <v>488</v>
      </c>
      <c r="AW25" s="402" t="s">
        <v>489</v>
      </c>
      <c r="AX25" s="402" t="s">
        <v>490</v>
      </c>
      <c r="AY25" s="402" t="s">
        <v>491</v>
      </c>
      <c r="AZ25" s="402" t="s">
        <v>492</v>
      </c>
      <c r="BA25" s="402" t="s">
        <v>493</v>
      </c>
      <c r="BB25" s="402" t="s">
        <v>494</v>
      </c>
      <c r="BC25" s="402" t="s">
        <v>495</v>
      </c>
      <c r="BD25" s="402" t="s">
        <v>496</v>
      </c>
      <c r="BE25" s="402" t="s">
        <v>497</v>
      </c>
      <c r="BF25" s="402" t="s">
        <v>498</v>
      </c>
      <c r="BG25" s="402" t="s">
        <v>499</v>
      </c>
      <c r="BH25" s="402" t="s">
        <v>500</v>
      </c>
      <c r="BI25" s="402" t="s">
        <v>501</v>
      </c>
      <c r="BJ25" s="402" t="s">
        <v>502</v>
      </c>
      <c r="BK25" s="402" t="s">
        <v>503</v>
      </c>
      <c r="BL25" s="402" t="s">
        <v>504</v>
      </c>
      <c r="BM25" s="402" t="s">
        <v>505</v>
      </c>
      <c r="BN25" s="402" t="s">
        <v>506</v>
      </c>
      <c r="BO25" s="402" t="s">
        <v>507</v>
      </c>
      <c r="BP25" s="402" t="s">
        <v>508</v>
      </c>
      <c r="BQ25" s="402" t="s">
        <v>509</v>
      </c>
      <c r="BR25" s="402" t="s">
        <v>510</v>
      </c>
      <c r="BS25" s="402" t="s">
        <v>511</v>
      </c>
      <c r="BT25" s="402" t="s">
        <v>512</v>
      </c>
      <c r="BU25" s="402" t="s">
        <v>513</v>
      </c>
      <c r="BV25" s="402" t="s">
        <v>514</v>
      </c>
      <c r="BW25" s="402" t="s">
        <v>515</v>
      </c>
      <c r="BX25" s="402" t="s">
        <v>516</v>
      </c>
      <c r="BY25" s="402" t="s">
        <v>517</v>
      </c>
      <c r="BZ25" s="402" t="s">
        <v>518</v>
      </c>
      <c r="CA25" s="402" t="s">
        <v>519</v>
      </c>
      <c r="CB25" s="402" t="s">
        <v>520</v>
      </c>
      <c r="CC25" s="402" t="s">
        <v>521</v>
      </c>
      <c r="CD25" s="402" t="s">
        <v>522</v>
      </c>
      <c r="CE25" s="402" t="s">
        <v>523</v>
      </c>
      <c r="CF25" s="402" t="s">
        <v>524</v>
      </c>
      <c r="CG25" s="402" t="s">
        <v>525</v>
      </c>
      <c r="CH25" s="402" t="s">
        <v>526</v>
      </c>
      <c r="CI25" s="402" t="s">
        <v>527</v>
      </c>
      <c r="CJ25" s="402" t="s">
        <v>528</v>
      </c>
      <c r="CK25" s="402" t="s">
        <v>529</v>
      </c>
      <c r="CL25" s="402" t="s">
        <v>530</v>
      </c>
      <c r="CM25" s="402" t="s">
        <v>531</v>
      </c>
      <c r="CN25" s="402" t="s">
        <v>532</v>
      </c>
      <c r="CO25" s="402" t="s">
        <v>533</v>
      </c>
      <c r="CP25" s="402" t="s">
        <v>534</v>
      </c>
      <c r="CQ25" s="402" t="s">
        <v>535</v>
      </c>
      <c r="CR25" s="402" t="s">
        <v>536</v>
      </c>
      <c r="CS25" s="402" t="s">
        <v>537</v>
      </c>
      <c r="CT25" s="402" t="s">
        <v>538</v>
      </c>
      <c r="CU25" s="402" t="s">
        <v>539</v>
      </c>
      <c r="CV25" s="402" t="s">
        <v>540</v>
      </c>
      <c r="CW25" s="402" t="s">
        <v>541</v>
      </c>
      <c r="CX25" s="402" t="s">
        <v>542</v>
      </c>
      <c r="CY25" s="402" t="s">
        <v>543</v>
      </c>
      <c r="CZ25" s="402" t="s">
        <v>544</v>
      </c>
      <c r="DA25" s="402" t="s">
        <v>545</v>
      </c>
      <c r="DB25" s="402" t="s">
        <v>546</v>
      </c>
      <c r="DC25" s="402" t="s">
        <v>547</v>
      </c>
      <c r="DD25" s="402" t="s">
        <v>548</v>
      </c>
      <c r="DE25" s="402" t="s">
        <v>549</v>
      </c>
      <c r="DF25" s="402" t="s">
        <v>550</v>
      </c>
      <c r="DG25" s="402" t="s">
        <v>551</v>
      </c>
      <c r="DH25" s="402" t="s">
        <v>552</v>
      </c>
      <c r="DI25" s="402" t="s">
        <v>553</v>
      </c>
      <c r="DJ25" s="402" t="s">
        <v>554</v>
      </c>
      <c r="DK25" s="402" t="s">
        <v>555</v>
      </c>
      <c r="DL25" s="402" t="s">
        <v>556</v>
      </c>
      <c r="DM25" s="402" t="s">
        <v>557</v>
      </c>
      <c r="DN25" s="402" t="s">
        <v>558</v>
      </c>
      <c r="DO25" s="402" t="s">
        <v>559</v>
      </c>
      <c r="DP25" s="402" t="s">
        <v>560</v>
      </c>
      <c r="DQ25" s="402" t="s">
        <v>561</v>
      </c>
      <c r="DR25" s="402" t="s">
        <v>562</v>
      </c>
      <c r="DS25" s="402" t="s">
        <v>563</v>
      </c>
      <c r="DT25" s="402" t="s">
        <v>564</v>
      </c>
      <c r="DU25" s="402" t="s">
        <v>565</v>
      </c>
      <c r="DV25" s="402" t="s">
        <v>566</v>
      </c>
      <c r="DW25" s="402" t="s">
        <v>567</v>
      </c>
      <c r="DX25" s="402" t="s">
        <v>568</v>
      </c>
      <c r="DY25" s="402" t="s">
        <v>569</v>
      </c>
      <c r="DZ25" s="402" t="s">
        <v>570</v>
      </c>
      <c r="EA25" s="402" t="s">
        <v>571</v>
      </c>
      <c r="EB25" s="402" t="s">
        <v>572</v>
      </c>
      <c r="EC25" s="402" t="s">
        <v>573</v>
      </c>
      <c r="ED25" s="402" t="s">
        <v>574</v>
      </c>
      <c r="EE25" s="402" t="s">
        <v>575</v>
      </c>
      <c r="EF25" s="402" t="s">
        <v>576</v>
      </c>
      <c r="EG25" s="402" t="s">
        <v>577</v>
      </c>
      <c r="EH25" s="402" t="s">
        <v>578</v>
      </c>
    </row>
    <row r="26" spans="1:138" ht="13.5" thickBot="1">
      <c r="B26" s="46">
        <v>2001</v>
      </c>
      <c r="C26" s="416">
        <f>AVERAGEIF($B$20:$O$20,$B26,$B$17:$O$17)</f>
        <v>695.66</v>
      </c>
      <c r="D26" s="416">
        <f>AVERAGEIF($B$20:$O$20,$B26,$B$22:$O$22)</f>
        <v>1306.79</v>
      </c>
      <c r="Q26" s="32"/>
      <c r="S26" s="415" t="str">
        <f>LEFT(S25,LEN(S25)-3)</f>
        <v>783.05</v>
      </c>
      <c r="T26" s="415" t="str">
        <f t="shared" ref="T26:CE26" si="4">LEFT(T25,LEN(T25)-3)</f>
        <v>822.86</v>
      </c>
      <c r="U26" s="415" t="str">
        <f t="shared" si="4"/>
        <v>864.12</v>
      </c>
      <c r="V26" s="415" t="str">
        <f t="shared" si="4"/>
        <v>860.22</v>
      </c>
      <c r="W26" s="415" t="str">
        <f t="shared" si="4"/>
        <v>837.73</v>
      </c>
      <c r="X26" s="415" t="str">
        <f t="shared" si="4"/>
        <v>842.40</v>
      </c>
      <c r="Y26" s="415" t="str">
        <f t="shared" si="4"/>
        <v>834.83</v>
      </c>
      <c r="Z26" s="415" t="str">
        <f t="shared" si="4"/>
        <v>856.41</v>
      </c>
      <c r="AA26" s="415" t="str">
        <f t="shared" si="4"/>
        <v>856.11</v>
      </c>
      <c r="AB26" s="415" t="str">
        <f t="shared" si="4"/>
        <v>876.23</v>
      </c>
      <c r="AC26" s="415" t="str">
        <f t="shared" si="4"/>
        <v>914.08</v>
      </c>
      <c r="AD26" s="415" t="str">
        <f t="shared" si="4"/>
        <v>901.16</v>
      </c>
      <c r="AE26" s="415" t="str">
        <f t="shared" si="4"/>
        <v>884.58</v>
      </c>
      <c r="AF26" s="415" t="str">
        <f t="shared" si="4"/>
        <v>884.66</v>
      </c>
      <c r="AG26" s="415" t="str">
        <f t="shared" si="4"/>
        <v>887.55</v>
      </c>
      <c r="AH26" s="415" t="str">
        <f t="shared" si="4"/>
        <v>904.94</v>
      </c>
      <c r="AI26" s="415" t="str">
        <f t="shared" si="4"/>
        <v>895.68</v>
      </c>
      <c r="AJ26" s="415" t="str">
        <f t="shared" si="4"/>
        <v>880.16</v>
      </c>
      <c r="AK26" s="415" t="str">
        <f t="shared" si="4"/>
        <v>878.41</v>
      </c>
      <c r="AL26" s="415" t="str">
        <f t="shared" si="4"/>
        <v>878.32</v>
      </c>
      <c r="AM26" s="415" t="str">
        <f t="shared" si="4"/>
        <v>905.61</v>
      </c>
      <c r="AN26" s="415" t="str">
        <f t="shared" si="4"/>
        <v>904.58</v>
      </c>
      <c r="AO26" s="415" t="str">
        <f t="shared" si="4"/>
        <v>910.54</v>
      </c>
      <c r="AP26" s="415" t="str">
        <f t="shared" si="4"/>
        <v>895.45</v>
      </c>
      <c r="AQ26" s="415" t="str">
        <f t="shared" si="4"/>
        <v>897.15</v>
      </c>
      <c r="AR26" s="415" t="str">
        <f t="shared" si="4"/>
        <v>884.48</v>
      </c>
      <c r="AS26" s="415" t="str">
        <f t="shared" si="4"/>
        <v>884.07</v>
      </c>
      <c r="AT26" s="415" t="str">
        <f t="shared" si="4"/>
        <v>907.93</v>
      </c>
      <c r="AU26" s="415" t="str">
        <f t="shared" si="4"/>
        <v>890.34</v>
      </c>
      <c r="AV26" s="415" t="str">
        <f t="shared" si="4"/>
        <v>895.79</v>
      </c>
      <c r="AW26" s="415" t="str">
        <f t="shared" si="4"/>
        <v>886.23</v>
      </c>
      <c r="AX26" s="415" t="str">
        <f t="shared" si="4"/>
        <v>890.46</v>
      </c>
      <c r="AY26" s="415" t="str">
        <f t="shared" si="4"/>
        <v>906.11</v>
      </c>
      <c r="AZ26" s="415" t="str">
        <f t="shared" si="4"/>
        <v>913.13</v>
      </c>
      <c r="BA26" s="415" t="str">
        <f t="shared" si="4"/>
        <v>912.85</v>
      </c>
      <c r="BB26" s="415" t="str">
        <f t="shared" si="4"/>
        <v>887.11</v>
      </c>
      <c r="BC26" s="415" t="str">
        <f t="shared" si="4"/>
        <v>915.33</v>
      </c>
      <c r="BD26" s="415" t="str">
        <f t="shared" si="4"/>
        <v>915.32</v>
      </c>
      <c r="BE26" s="415" t="str">
        <f t="shared" si="4"/>
        <v>907.78</v>
      </c>
      <c r="BF26" s="415" t="str">
        <f t="shared" si="4"/>
        <v>924.75</v>
      </c>
      <c r="BG26" s="415" t="str">
        <f t="shared" si="4"/>
        <v>921.67</v>
      </c>
      <c r="BH26" s="415" t="str">
        <f t="shared" si="4"/>
        <v>922.05</v>
      </c>
      <c r="BI26" s="415" t="str">
        <f t="shared" si="4"/>
        <v>919.44</v>
      </c>
      <c r="BJ26" s="415" t="str">
        <f t="shared" si="4"/>
        <v>920.64</v>
      </c>
      <c r="BK26" s="415" t="str">
        <f t="shared" si="4"/>
        <v>924.74</v>
      </c>
      <c r="BL26" s="415" t="str">
        <f t="shared" si="4"/>
        <v>932.30</v>
      </c>
      <c r="BM26" s="415" t="str">
        <f t="shared" si="4"/>
        <v>945.21</v>
      </c>
      <c r="BN26" s="415" t="str">
        <f t="shared" si="4"/>
        <v>909.36</v>
      </c>
      <c r="BO26" s="415" t="str">
        <f t="shared" si="4"/>
        <v>912.21</v>
      </c>
      <c r="BP26" s="415" t="str">
        <f t="shared" si="4"/>
        <v>927.58</v>
      </c>
      <c r="BQ26" s="415" t="str">
        <f t="shared" si="4"/>
        <v>927.85</v>
      </c>
      <c r="BR26" s="415" t="str">
        <f t="shared" si="4"/>
        <v>935.23</v>
      </c>
      <c r="BS26" s="415" t="str">
        <f t="shared" si="4"/>
        <v>938.58</v>
      </c>
      <c r="BT26" s="415" t="str">
        <f t="shared" si="4"/>
        <v>942.74</v>
      </c>
      <c r="BU26" s="415" t="str">
        <f t="shared" si="4"/>
        <v>936.41</v>
      </c>
      <c r="BV26" s="415" t="str">
        <f t="shared" si="4"/>
        <v>930.31</v>
      </c>
      <c r="BW26" s="415" t="str">
        <f t="shared" si="4"/>
        <v>940.20</v>
      </c>
      <c r="BX26" s="415" t="str">
        <f t="shared" si="4"/>
        <v>955.56</v>
      </c>
      <c r="BY26" s="415" t="str">
        <f t="shared" si="4"/>
        <v>959.10</v>
      </c>
      <c r="BZ26" s="415" t="str">
        <f t="shared" si="4"/>
        <v>934.63</v>
      </c>
      <c r="CA26" s="415" t="str">
        <f t="shared" si="4"/>
        <v>919.03</v>
      </c>
      <c r="CB26" s="415" t="str">
        <f t="shared" si="4"/>
        <v>927.40</v>
      </c>
      <c r="CC26" s="415" t="str">
        <f t="shared" si="4"/>
        <v>931.97</v>
      </c>
      <c r="CD26" s="415" t="str">
        <f t="shared" si="4"/>
        <v>940.06</v>
      </c>
      <c r="CE26" s="415" t="str">
        <f t="shared" si="4"/>
        <v>931.98</v>
      </c>
      <c r="CF26" s="415" t="str">
        <f t="shared" ref="CF26:EH26" si="5">LEFT(CF25,LEN(CF25)-3)</f>
        <v>934.57</v>
      </c>
      <c r="CG26" s="415" t="str">
        <f t="shared" si="5"/>
        <v>935.04</v>
      </c>
      <c r="CH26" s="415" t="str">
        <f t="shared" si="5"/>
        <v>935.02</v>
      </c>
      <c r="CI26" s="415" t="str">
        <f t="shared" si="5"/>
        <v>950.50</v>
      </c>
      <c r="CJ26" s="415" t="str">
        <f t="shared" si="5"/>
        <v>958.25</v>
      </c>
      <c r="CK26" s="415" t="str">
        <f t="shared" si="5"/>
        <v>970.73</v>
      </c>
      <c r="CL26" s="415" t="str">
        <f t="shared" si="5"/>
        <v>942.46</v>
      </c>
      <c r="CM26" s="415" t="str">
        <f t="shared" si="5"/>
        <v>967.08</v>
      </c>
      <c r="CN26" s="415" t="str">
        <f t="shared" si="5"/>
        <v>969.07</v>
      </c>
      <c r="CO26" s="415" t="str">
        <f t="shared" si="5"/>
        <v>959.15</v>
      </c>
      <c r="CP26" s="415" t="str">
        <f t="shared" si="5"/>
        <v>993.29</v>
      </c>
      <c r="CQ26" s="415" t="str">
        <f t="shared" si="5"/>
        <v>999.42</v>
      </c>
      <c r="CR26" s="415" t="str">
        <f t="shared" si="5"/>
        <v>998.34</v>
      </c>
      <c r="CS26" s="415" t="str">
        <f t="shared" si="5"/>
        <v>969.94</v>
      </c>
      <c r="CT26" s="415" t="str">
        <f t="shared" si="5"/>
        <v>974.01</v>
      </c>
      <c r="CU26" s="415" t="str">
        <f t="shared" si="5"/>
        <v>991.88</v>
      </c>
      <c r="CV26" s="415" t="str">
        <f t="shared" si="5"/>
        <v>1,025.73</v>
      </c>
      <c r="CW26" s="415" t="str">
        <f t="shared" si="5"/>
        <v>1,016.63</v>
      </c>
      <c r="CX26" s="415" t="str">
        <f t="shared" si="5"/>
        <v>989.92</v>
      </c>
      <c r="CY26" s="415" t="str">
        <f t="shared" si="5"/>
        <v>1,064.65</v>
      </c>
      <c r="CZ26" s="415" t="str">
        <f t="shared" si="5"/>
        <v>1,011.82</v>
      </c>
      <c r="DA26" s="415" t="str">
        <f t="shared" si="5"/>
        <v>1,007.16</v>
      </c>
      <c r="DB26" s="415" t="str">
        <f t="shared" si="5"/>
        <v>1,011.04</v>
      </c>
      <c r="DC26" s="415" t="str">
        <f t="shared" si="5"/>
        <v>1,013.18</v>
      </c>
      <c r="DD26" s="415" t="str">
        <f t="shared" si="5"/>
        <v>1,031.88</v>
      </c>
      <c r="DE26" s="415" t="str">
        <f t="shared" si="5"/>
        <v>1,041.62</v>
      </c>
      <c r="DF26" s="415" t="str">
        <f t="shared" si="5"/>
        <v>1,039.00</v>
      </c>
      <c r="DG26" s="415" t="str">
        <f t="shared" si="5"/>
        <v>1,039.92</v>
      </c>
      <c r="DH26" s="415" t="str">
        <f t="shared" si="5"/>
        <v>1,044.75</v>
      </c>
      <c r="DI26" s="415" t="str">
        <f t="shared" si="5"/>
        <v>1,044.54</v>
      </c>
      <c r="DJ26" s="415" t="str">
        <f t="shared" si="5"/>
        <v>1,049.20</v>
      </c>
      <c r="DK26" s="415" t="str">
        <f t="shared" si="5"/>
        <v>1,043.23</v>
      </c>
      <c r="DL26" s="415" t="str">
        <f t="shared" si="5"/>
        <v>1,039.50</v>
      </c>
      <c r="DM26" s="415" t="str">
        <f t="shared" si="5"/>
        <v>1,042.05</v>
      </c>
      <c r="DN26" s="415" t="str">
        <f t="shared" si="5"/>
        <v>1,062.64</v>
      </c>
      <c r="DO26" s="415" t="str">
        <f t="shared" si="5"/>
        <v>1,054.36</v>
      </c>
      <c r="DP26" s="415" t="str">
        <f t="shared" si="5"/>
        <v>1,023.22</v>
      </c>
      <c r="DQ26" s="415" t="str">
        <f t="shared" si="5"/>
        <v>1,049.26</v>
      </c>
      <c r="DR26" s="415" t="str">
        <f t="shared" si="5"/>
        <v>1,053.32</v>
      </c>
      <c r="DS26" s="415" t="str">
        <f t="shared" si="5"/>
        <v>1,050.77</v>
      </c>
      <c r="DT26" s="415" t="str">
        <f t="shared" si="5"/>
        <v>1,057.80</v>
      </c>
      <c r="DU26" s="415" t="str">
        <f t="shared" si="5"/>
        <v>1,060.68</v>
      </c>
      <c r="DV26" s="415" t="str">
        <f t="shared" si="5"/>
        <v>1,064.49</v>
      </c>
      <c r="DW26" s="415" t="str">
        <f t="shared" si="5"/>
        <v>1,064.39</v>
      </c>
      <c r="DX26" s="415" t="str">
        <f t="shared" si="5"/>
        <v>1,069.17</v>
      </c>
      <c r="DY26" s="415" t="str">
        <f t="shared" si="5"/>
        <v>1,067.63</v>
      </c>
      <c r="DZ26" s="415" t="str">
        <f t="shared" si="5"/>
        <v>1,065.73</v>
      </c>
      <c r="EA26" s="415" t="str">
        <f t="shared" si="5"/>
        <v>1,064.43</v>
      </c>
      <c r="EB26" s="415" t="str">
        <f t="shared" si="5"/>
        <v>1,064.89</v>
      </c>
      <c r="EC26" s="415" t="str">
        <f t="shared" si="5"/>
        <v>1,067.55</v>
      </c>
      <c r="ED26" s="415" t="str">
        <f t="shared" si="5"/>
        <v>1,067.93</v>
      </c>
      <c r="EE26" s="415" t="str">
        <f t="shared" si="5"/>
        <v>1,069.10</v>
      </c>
      <c r="EF26" s="415" t="str">
        <f t="shared" si="5"/>
        <v>1,071.52</v>
      </c>
      <c r="EG26" s="415" t="str">
        <f t="shared" si="5"/>
        <v>1,070.48</v>
      </c>
      <c r="EH26" s="415" t="str">
        <f t="shared" si="5"/>
        <v>1,072.96</v>
      </c>
    </row>
    <row r="27" spans="1:138" ht="13.5" thickBot="1">
      <c r="B27" s="46">
        <v>2002</v>
      </c>
      <c r="C27" s="416">
        <f t="shared" ref="C27:C39" si="6">AVERAGEIF($B$20:$O$20,$B27,$B$17:$O$17)</f>
        <v>710.87</v>
      </c>
      <c r="D27" s="416">
        <f t="shared" ref="D27:D39" si="7">AVERAGEIF($B$20:$O$20,$B27,$B$22:$O$22)</f>
        <v>1385.59</v>
      </c>
      <c r="Q27" s="32"/>
      <c r="S27" s="403">
        <v>783.05</v>
      </c>
      <c r="T27" s="403">
        <v>822.86</v>
      </c>
      <c r="U27" s="403">
        <v>864.12</v>
      </c>
      <c r="V27" s="403">
        <v>860.22</v>
      </c>
      <c r="W27" s="403">
        <v>837.73</v>
      </c>
      <c r="X27" s="403">
        <v>842.4</v>
      </c>
      <c r="Y27" s="403">
        <v>834.83</v>
      </c>
      <c r="Z27" s="403">
        <v>856.41</v>
      </c>
      <c r="AA27" s="403">
        <v>856.11</v>
      </c>
      <c r="AB27" s="403">
        <v>876.23</v>
      </c>
      <c r="AC27" s="403">
        <v>914.08</v>
      </c>
      <c r="AD27" s="403">
        <v>901.16</v>
      </c>
      <c r="AE27" s="403">
        <v>884.58</v>
      </c>
      <c r="AF27" s="403">
        <v>884.66</v>
      </c>
      <c r="AG27" s="403">
        <v>887.55</v>
      </c>
      <c r="AH27" s="403">
        <v>904.94</v>
      </c>
      <c r="AI27" s="403">
        <v>895.68</v>
      </c>
      <c r="AJ27" s="403">
        <v>880.16</v>
      </c>
      <c r="AK27" s="403">
        <v>878.41</v>
      </c>
      <c r="AL27" s="403">
        <v>878.32</v>
      </c>
      <c r="AM27" s="403">
        <v>905.61</v>
      </c>
      <c r="AN27" s="403">
        <v>904.58</v>
      </c>
      <c r="AO27" s="403">
        <v>910.54</v>
      </c>
      <c r="AP27" s="403">
        <v>895.45</v>
      </c>
      <c r="AQ27" s="403">
        <v>897.15</v>
      </c>
      <c r="AR27" s="403">
        <v>884.48</v>
      </c>
      <c r="AS27" s="403">
        <v>884.07</v>
      </c>
      <c r="AT27" s="403">
        <v>907.93</v>
      </c>
      <c r="AU27" s="403">
        <v>890.34</v>
      </c>
      <c r="AV27" s="403">
        <v>895.79</v>
      </c>
      <c r="AW27" s="403">
        <v>886.23</v>
      </c>
      <c r="AX27" s="403">
        <v>890.46</v>
      </c>
      <c r="AY27" s="403">
        <v>906.11</v>
      </c>
      <c r="AZ27" s="403">
        <v>913.13</v>
      </c>
      <c r="BA27" s="403">
        <v>912.85</v>
      </c>
      <c r="BB27" s="403">
        <v>887.11</v>
      </c>
      <c r="BC27" s="403">
        <v>915.33</v>
      </c>
      <c r="BD27" s="403">
        <v>915.32</v>
      </c>
      <c r="BE27" s="403">
        <v>907.78</v>
      </c>
      <c r="BF27" s="403">
        <v>924.75</v>
      </c>
      <c r="BG27" s="403">
        <v>921.67</v>
      </c>
      <c r="BH27" s="403">
        <v>922.05</v>
      </c>
      <c r="BI27" s="403">
        <v>919.44</v>
      </c>
      <c r="BJ27" s="403">
        <v>920.64</v>
      </c>
      <c r="BK27" s="403">
        <v>924.74</v>
      </c>
      <c r="BL27" s="403">
        <v>932.3</v>
      </c>
      <c r="BM27" s="403">
        <v>945.21</v>
      </c>
      <c r="BN27" s="403">
        <v>909.36</v>
      </c>
      <c r="BO27" s="403">
        <v>912.21</v>
      </c>
      <c r="BP27" s="403">
        <v>927.58</v>
      </c>
      <c r="BQ27" s="403">
        <v>927.85</v>
      </c>
      <c r="BR27" s="403">
        <v>935.23</v>
      </c>
      <c r="BS27" s="403">
        <v>938.58</v>
      </c>
      <c r="BT27" s="403">
        <v>942.74</v>
      </c>
      <c r="BU27" s="403">
        <v>936.41</v>
      </c>
      <c r="BV27" s="403">
        <v>930.31</v>
      </c>
      <c r="BW27" s="403">
        <v>940.2</v>
      </c>
      <c r="BX27" s="403">
        <v>955.56</v>
      </c>
      <c r="BY27" s="403">
        <v>959.1</v>
      </c>
      <c r="BZ27" s="403">
        <v>934.63</v>
      </c>
      <c r="CA27" s="403">
        <v>919.03</v>
      </c>
      <c r="CB27" s="403">
        <v>927.4</v>
      </c>
      <c r="CC27" s="403">
        <v>931.97</v>
      </c>
      <c r="CD27" s="403">
        <v>940.06</v>
      </c>
      <c r="CE27" s="403">
        <v>931.98</v>
      </c>
      <c r="CF27" s="403">
        <v>934.57</v>
      </c>
      <c r="CG27" s="403">
        <v>935.04</v>
      </c>
      <c r="CH27" s="403">
        <v>935.02</v>
      </c>
      <c r="CI27" s="403">
        <v>950.5</v>
      </c>
      <c r="CJ27" s="403">
        <v>958.25</v>
      </c>
      <c r="CK27" s="403">
        <v>970.73</v>
      </c>
      <c r="CL27" s="403">
        <v>942.46</v>
      </c>
      <c r="CM27" s="403">
        <v>967.08</v>
      </c>
      <c r="CN27" s="403">
        <v>969.07</v>
      </c>
      <c r="CO27" s="403">
        <v>959.15</v>
      </c>
      <c r="CP27" s="403">
        <v>993.29</v>
      </c>
      <c r="CQ27" s="403">
        <v>999.42</v>
      </c>
      <c r="CR27" s="403">
        <v>998.34</v>
      </c>
      <c r="CS27" s="403">
        <v>969.94</v>
      </c>
      <c r="CT27" s="403">
        <v>974.01</v>
      </c>
      <c r="CU27" s="403">
        <v>991.88</v>
      </c>
      <c r="CV27" s="404">
        <v>1025.73</v>
      </c>
      <c r="CW27" s="404">
        <v>1016.63</v>
      </c>
      <c r="CX27" s="403">
        <v>989.92</v>
      </c>
      <c r="CY27" s="404">
        <v>1064.6500000000001</v>
      </c>
      <c r="CZ27" s="404">
        <v>1011.82</v>
      </c>
      <c r="DA27" s="404">
        <v>1007.16</v>
      </c>
      <c r="DB27" s="404">
        <v>1011.04</v>
      </c>
      <c r="DC27" s="404">
        <v>1013.18</v>
      </c>
      <c r="DD27" s="404">
        <v>1031.8800000000001</v>
      </c>
      <c r="DE27" s="404">
        <v>1041.6199999999999</v>
      </c>
      <c r="DF27" s="404">
        <v>1039</v>
      </c>
      <c r="DG27" s="404">
        <v>1039.92</v>
      </c>
      <c r="DH27" s="404">
        <v>1044.75</v>
      </c>
      <c r="DI27" s="404">
        <v>1044.54</v>
      </c>
      <c r="DJ27" s="404">
        <v>1049.2</v>
      </c>
      <c r="DK27" s="404">
        <v>1043.23</v>
      </c>
      <c r="DL27" s="404">
        <v>1039.5</v>
      </c>
      <c r="DM27" s="404">
        <v>1042.05</v>
      </c>
      <c r="DN27" s="404">
        <v>1062.6400000000001</v>
      </c>
      <c r="DO27" s="404">
        <v>1054.3599999999999</v>
      </c>
      <c r="DP27" s="404">
        <v>1023.22</v>
      </c>
      <c r="DQ27" s="404">
        <v>1049.26</v>
      </c>
      <c r="DR27" s="404">
        <v>1053.32</v>
      </c>
      <c r="DS27" s="404">
        <v>1050.77</v>
      </c>
      <c r="DT27" s="404">
        <v>1057.8</v>
      </c>
      <c r="DU27" s="404">
        <v>1060.68</v>
      </c>
      <c r="DV27" s="404">
        <v>1064.49</v>
      </c>
      <c r="DW27" s="404">
        <v>1064.3900000000001</v>
      </c>
      <c r="DX27" s="404">
        <v>1069.17</v>
      </c>
      <c r="DY27" s="404">
        <v>1067.6300000000001</v>
      </c>
      <c r="DZ27" s="404">
        <v>1065.73</v>
      </c>
      <c r="EA27" s="404">
        <v>1064.43</v>
      </c>
      <c r="EB27" s="404">
        <v>1064.8900000000001</v>
      </c>
      <c r="EC27" s="404">
        <v>1067.55</v>
      </c>
      <c r="ED27" s="404">
        <v>1067.93</v>
      </c>
      <c r="EE27" s="404">
        <v>1069.0999999999999</v>
      </c>
      <c r="EF27" s="404">
        <v>1071.52</v>
      </c>
      <c r="EG27" s="404">
        <v>1070.48</v>
      </c>
      <c r="EH27" s="404">
        <v>1072.96</v>
      </c>
    </row>
    <row r="28" spans="1:138" ht="13.5" thickBot="1">
      <c r="B28" s="46">
        <v>2003</v>
      </c>
      <c r="C28" s="416">
        <f t="shared" si="6"/>
        <v>728.38</v>
      </c>
      <c r="D28" s="416">
        <f t="shared" si="7"/>
        <v>1441.31</v>
      </c>
      <c r="Q28" s="32"/>
    </row>
    <row r="29" spans="1:138" ht="13.5" thickBot="1">
      <c r="B29" s="46">
        <v>2004</v>
      </c>
      <c r="C29" s="416">
        <f t="shared" si="6"/>
        <v>748.57</v>
      </c>
      <c r="D29" s="416">
        <f t="shared" si="7"/>
        <v>1420.13</v>
      </c>
      <c r="Q29" s="32"/>
    </row>
    <row r="30" spans="1:138" ht="13.5" thickBot="1">
      <c r="B30" s="46">
        <v>2005</v>
      </c>
      <c r="C30" s="416">
        <f t="shared" si="6"/>
        <v>775.8</v>
      </c>
      <c r="D30" s="416">
        <f t="shared" si="7"/>
        <v>1449.84</v>
      </c>
      <c r="Q30" s="32"/>
      <c r="S30" s="49" t="s">
        <v>52</v>
      </c>
      <c r="T30" s="50" t="s">
        <v>55</v>
      </c>
      <c r="U30" s="50" t="s">
        <v>56</v>
      </c>
    </row>
    <row r="31" spans="1:138" ht="13.5" thickBot="1">
      <c r="B31" s="46">
        <v>2006</v>
      </c>
      <c r="C31" s="416">
        <f t="shared" si="6"/>
        <v>788.25</v>
      </c>
      <c r="D31" s="416">
        <f t="shared" si="7"/>
        <v>1488.34</v>
      </c>
      <c r="Q31" s="32"/>
      <c r="S31" s="46">
        <v>1991</v>
      </c>
      <c r="T31" s="416">
        <f t="shared" ref="T31:T40" si="8">AVERAGEIF($S$15:$EH$15,$S31,$S$19:$EH$19)</f>
        <v>575.90333333333331</v>
      </c>
      <c r="U31" s="416">
        <f>AVERAGEIF($S$15:$EH$15,$S31,$S$27:$EH$27)</f>
        <v>854.09999999999991</v>
      </c>
    </row>
    <row r="32" spans="1:138" ht="13.5" thickBot="1">
      <c r="B32" s="46">
        <v>2007</v>
      </c>
      <c r="C32" s="416">
        <f t="shared" si="6"/>
        <v>818.61</v>
      </c>
      <c r="D32" s="416">
        <f t="shared" si="7"/>
        <v>1577.41</v>
      </c>
      <c r="Q32" s="32"/>
      <c r="S32" s="46">
        <v>1992</v>
      </c>
      <c r="T32" s="416">
        <f t="shared" si="8"/>
        <v>598.56916666666666</v>
      </c>
      <c r="U32" s="416">
        <f t="shared" ref="U32:U40" si="9">AVERAGEIF($S$15:$EH$15,$S32,$S$27:$EH$27)</f>
        <v>892.54</v>
      </c>
    </row>
    <row r="33" spans="2:21" ht="13.5" thickBot="1">
      <c r="B33" s="46">
        <v>2008</v>
      </c>
      <c r="C33" s="416">
        <f t="shared" si="6"/>
        <v>837.91</v>
      </c>
      <c r="D33" s="416">
        <f t="shared" si="7"/>
        <v>1544.3</v>
      </c>
      <c r="Q33" s="32"/>
      <c r="S33" s="46">
        <v>1993</v>
      </c>
      <c r="T33" s="416">
        <f t="shared" si="8"/>
        <v>612.10833333333335</v>
      </c>
      <c r="U33" s="416">
        <f t="shared" si="9"/>
        <v>896.30416666666667</v>
      </c>
    </row>
    <row r="34" spans="2:21" ht="13.5" thickBot="1">
      <c r="B34" s="46">
        <v>2009</v>
      </c>
      <c r="C34" s="416">
        <f t="shared" si="6"/>
        <v>848.85</v>
      </c>
      <c r="D34" s="416">
        <f t="shared" si="7"/>
        <v>1672.72</v>
      </c>
      <c r="Q34" s="32"/>
      <c r="S34" s="46">
        <v>1994</v>
      </c>
      <c r="T34" s="416">
        <f t="shared" si="8"/>
        <v>627.87250000000006</v>
      </c>
      <c r="U34" s="416">
        <f t="shared" si="9"/>
        <v>921.54916666666668</v>
      </c>
    </row>
    <row r="35" spans="2:21" ht="13.5" thickBot="1">
      <c r="B35" s="46">
        <v>2010</v>
      </c>
      <c r="C35" s="416">
        <f t="shared" si="6"/>
        <v>881.43</v>
      </c>
      <c r="D35" s="416">
        <f t="shared" si="7"/>
        <v>1680.01</v>
      </c>
      <c r="Q35" s="32"/>
      <c r="S35" s="46">
        <v>1995</v>
      </c>
      <c r="T35" s="416">
        <f t="shared" si="8"/>
        <v>633.98</v>
      </c>
      <c r="U35" s="416">
        <f t="shared" si="9"/>
        <v>936.69999999999993</v>
      </c>
    </row>
    <row r="36" spans="2:21" ht="13.5" thickBot="1">
      <c r="B36" s="46">
        <v>2011</v>
      </c>
      <c r="C36" s="416">
        <f t="shared" si="6"/>
        <v>893.41</v>
      </c>
      <c r="D36" s="416">
        <f t="shared" si="7"/>
        <v>1714.92</v>
      </c>
      <c r="Q36" s="32"/>
      <c r="S36" s="46">
        <v>1996</v>
      </c>
      <c r="T36" s="416">
        <f t="shared" si="8"/>
        <v>649.29166666666663</v>
      </c>
      <c r="U36" s="416">
        <f t="shared" si="9"/>
        <v>939.75083333333316</v>
      </c>
    </row>
    <row r="37" spans="2:21" ht="13.5" thickBot="1">
      <c r="B37" s="46">
        <v>2012</v>
      </c>
      <c r="C37" s="416">
        <f t="shared" si="6"/>
        <v>906.09</v>
      </c>
      <c r="D37" s="416">
        <f t="shared" si="7"/>
        <v>1707.11</v>
      </c>
      <c r="Q37" s="32"/>
      <c r="S37" s="46">
        <v>1997</v>
      </c>
      <c r="T37" s="416">
        <f t="shared" si="8"/>
        <v>663.50749999999994</v>
      </c>
      <c r="U37" s="416">
        <f t="shared" si="9"/>
        <v>987.87166666666656</v>
      </c>
    </row>
    <row r="38" spans="2:21" ht="13.5" thickBot="1">
      <c r="B38" s="46">
        <v>2013</v>
      </c>
      <c r="C38" s="416">
        <f>AVERAGEIF($B$20:$O$20,$B38,$B$17:$O$17)</f>
        <v>920.12</v>
      </c>
      <c r="D38" s="416">
        <f>AVERAGEIF($B$20:$O$20,$B38,$B$22:$O$22)</f>
        <v>1758.79</v>
      </c>
      <c r="Q38" s="32"/>
      <c r="S38" s="46">
        <v>1998</v>
      </c>
      <c r="T38" s="416">
        <f t="shared" si="8"/>
        <v>672.53000000000009</v>
      </c>
      <c r="U38" s="416">
        <f t="shared" si="9"/>
        <v>1033.2300000000002</v>
      </c>
    </row>
    <row r="39" spans="2:21" ht="13.5" thickBot="1">
      <c r="B39" s="46">
        <v>2014</v>
      </c>
      <c r="C39" s="416">
        <f t="shared" si="6"/>
        <v>938.36</v>
      </c>
      <c r="D39" s="416">
        <f t="shared" si="7"/>
        <v>1915.37</v>
      </c>
      <c r="Q39" s="32"/>
      <c r="S39" s="46">
        <v>1999</v>
      </c>
      <c r="T39" s="416">
        <f t="shared" si="8"/>
        <v>683.48416666666662</v>
      </c>
      <c r="U39" s="416">
        <f t="shared" si="9"/>
        <v>1050.1099999999999</v>
      </c>
    </row>
    <row r="40" spans="2:21" ht="13.5" thickBot="1">
      <c r="Q40" s="32"/>
      <c r="S40" s="46">
        <v>2000</v>
      </c>
      <c r="T40" s="416">
        <f t="shared" si="8"/>
        <v>699.92833333333317</v>
      </c>
      <c r="U40" s="416">
        <f t="shared" si="9"/>
        <v>1067.9816666666668</v>
      </c>
    </row>
    <row r="41" spans="2:21">
      <c r="Q41" s="32"/>
    </row>
    <row r="42" spans="2:21">
      <c r="Q42" s="32"/>
    </row>
    <row r="43" spans="2:21">
      <c r="Q43" s="32"/>
    </row>
    <row r="44" spans="2:21">
      <c r="B44" s="51" t="s">
        <v>57</v>
      </c>
      <c r="Q44" s="32"/>
      <c r="S44" s="51" t="s">
        <v>57</v>
      </c>
    </row>
    <row r="45" spans="2:21">
      <c r="Q45" s="32"/>
      <c r="S45" s="52"/>
    </row>
    <row r="46" spans="2:21">
      <c r="B46" s="53">
        <v>1</v>
      </c>
      <c r="C46" t="s">
        <v>58</v>
      </c>
      <c r="Q46" s="32"/>
      <c r="R46" s="47" t="s">
        <v>59</v>
      </c>
      <c r="S46" s="53">
        <v>3</v>
      </c>
      <c r="T46" s="54" t="s">
        <v>60</v>
      </c>
    </row>
    <row r="47" spans="2:21">
      <c r="B47" s="53">
        <v>2</v>
      </c>
      <c r="C47" s="54" t="s">
        <v>61</v>
      </c>
      <c r="Q47" s="32"/>
      <c r="R47" s="47" t="s">
        <v>59</v>
      </c>
      <c r="S47" s="53">
        <v>4</v>
      </c>
      <c r="T47" s="54" t="s">
        <v>62</v>
      </c>
    </row>
    <row r="48" spans="2:21">
      <c r="B48" s="53">
        <v>3</v>
      </c>
      <c r="C48" s="54" t="s">
        <v>63</v>
      </c>
      <c r="Q48" s="32"/>
      <c r="R48" s="47" t="s">
        <v>59</v>
      </c>
      <c r="S48" s="53">
        <v>5</v>
      </c>
      <c r="T48" s="54" t="s">
        <v>64</v>
      </c>
    </row>
    <row r="49" spans="2:20">
      <c r="B49" s="53">
        <v>4</v>
      </c>
      <c r="C49" s="54" t="s">
        <v>65</v>
      </c>
      <c r="Q49" s="32"/>
      <c r="R49" s="55" t="s">
        <v>59</v>
      </c>
      <c r="S49" s="53">
        <v>6</v>
      </c>
      <c r="T49" s="54" t="s">
        <v>66</v>
      </c>
    </row>
    <row r="50" spans="2:20">
      <c r="B50" s="53">
        <v>5</v>
      </c>
      <c r="C50" s="54" t="s">
        <v>60</v>
      </c>
      <c r="Q50" s="32"/>
      <c r="R50" s="55" t="s">
        <v>59</v>
      </c>
      <c r="S50" s="53">
        <v>7</v>
      </c>
      <c r="T50" s="54" t="s">
        <v>67</v>
      </c>
    </row>
    <row r="51" spans="2:20">
      <c r="B51" s="53">
        <v>6</v>
      </c>
      <c r="C51" s="54" t="s">
        <v>64</v>
      </c>
      <c r="Q51" s="32"/>
      <c r="R51" s="55" t="s">
        <v>59</v>
      </c>
      <c r="S51" s="53">
        <v>8</v>
      </c>
      <c r="T51" s="54" t="s">
        <v>68</v>
      </c>
    </row>
    <row r="52" spans="2:20">
      <c r="B52" s="53">
        <v>7</v>
      </c>
      <c r="C52" s="54" t="s">
        <v>66</v>
      </c>
      <c r="Q52" s="32"/>
      <c r="R52" s="55" t="s">
        <v>59</v>
      </c>
      <c r="S52" s="53">
        <v>9</v>
      </c>
      <c r="T52" s="54" t="s">
        <v>69</v>
      </c>
    </row>
    <row r="53" spans="2:20">
      <c r="B53" s="53">
        <v>8</v>
      </c>
      <c r="C53" s="54" t="s">
        <v>67</v>
      </c>
      <c r="Q53" s="32"/>
      <c r="R53" s="55" t="s">
        <v>59</v>
      </c>
      <c r="S53" s="53">
        <v>10</v>
      </c>
      <c r="T53" s="54" t="s">
        <v>70</v>
      </c>
    </row>
    <row r="54" spans="2:20">
      <c r="B54" s="53">
        <v>9</v>
      </c>
      <c r="C54" s="54" t="s">
        <v>68</v>
      </c>
      <c r="Q54" s="32"/>
      <c r="R54" s="55" t="s">
        <v>59</v>
      </c>
      <c r="S54" s="53">
        <v>11</v>
      </c>
      <c r="T54" s="54" t="s">
        <v>71</v>
      </c>
    </row>
    <row r="55" spans="2:20">
      <c r="B55" s="53">
        <v>10</v>
      </c>
      <c r="C55" s="54" t="s">
        <v>72</v>
      </c>
      <c r="Q55" s="32"/>
      <c r="R55" s="55" t="s">
        <v>59</v>
      </c>
      <c r="S55" s="53">
        <v>12</v>
      </c>
      <c r="T55" s="54" t="s">
        <v>73</v>
      </c>
    </row>
    <row r="56" spans="2:20">
      <c r="B56" s="53">
        <v>11</v>
      </c>
      <c r="C56" s="54" t="s">
        <v>70</v>
      </c>
      <c r="Q56" s="32"/>
      <c r="R56" s="55" t="s">
        <v>59</v>
      </c>
      <c r="S56" s="53">
        <v>13</v>
      </c>
      <c r="T56" s="54" t="s">
        <v>74</v>
      </c>
    </row>
    <row r="57" spans="2:20">
      <c r="B57" s="53">
        <v>12</v>
      </c>
      <c r="C57" s="54" t="s">
        <v>71</v>
      </c>
      <c r="Q57" s="32"/>
      <c r="R57" s="55" t="s">
        <v>59</v>
      </c>
      <c r="S57" s="53">
        <v>14</v>
      </c>
      <c r="T57" s="54" t="s">
        <v>75</v>
      </c>
    </row>
    <row r="58" spans="2:20">
      <c r="B58" s="53">
        <v>13</v>
      </c>
      <c r="C58" s="54" t="s">
        <v>76</v>
      </c>
      <c r="Q58" s="32"/>
      <c r="R58" s="55" t="s">
        <v>59</v>
      </c>
      <c r="S58" s="53">
        <v>15</v>
      </c>
      <c r="T58" s="54" t="s">
        <v>77</v>
      </c>
    </row>
    <row r="59" spans="2:20">
      <c r="B59" s="53">
        <v>14</v>
      </c>
      <c r="C59" s="54" t="s">
        <v>73</v>
      </c>
      <c r="Q59" s="32"/>
      <c r="R59" s="55" t="s">
        <v>59</v>
      </c>
      <c r="S59" s="53">
        <v>16</v>
      </c>
      <c r="T59" s="54" t="s">
        <v>78</v>
      </c>
    </row>
    <row r="60" spans="2:20">
      <c r="B60" s="53">
        <v>15</v>
      </c>
      <c r="C60" s="54" t="s">
        <v>75</v>
      </c>
      <c r="Q60" s="32"/>
      <c r="R60" s="55" t="s">
        <v>59</v>
      </c>
      <c r="S60" s="53">
        <v>17</v>
      </c>
      <c r="T60" s="54" t="s">
        <v>79</v>
      </c>
    </row>
    <row r="61" spans="2:20">
      <c r="B61" s="53">
        <v>16</v>
      </c>
      <c r="C61" s="54" t="s">
        <v>78</v>
      </c>
      <c r="Q61" s="32"/>
      <c r="R61" s="55" t="s">
        <v>59</v>
      </c>
      <c r="S61" s="53">
        <v>18</v>
      </c>
      <c r="T61" s="54" t="s">
        <v>80</v>
      </c>
    </row>
    <row r="62" spans="2:20">
      <c r="B62" s="53">
        <v>17</v>
      </c>
      <c r="C62" s="54" t="s">
        <v>81</v>
      </c>
      <c r="Q62" s="32"/>
      <c r="R62" s="55" t="s">
        <v>59</v>
      </c>
      <c r="S62" s="53">
        <v>19</v>
      </c>
      <c r="T62" s="56" t="s">
        <v>82</v>
      </c>
    </row>
    <row r="63" spans="2:20">
      <c r="B63" s="53">
        <v>18</v>
      </c>
      <c r="C63" s="54" t="s">
        <v>80</v>
      </c>
      <c r="Q63" s="32"/>
      <c r="R63" s="55" t="s">
        <v>59</v>
      </c>
      <c r="S63" s="53"/>
    </row>
    <row r="64" spans="2:20">
      <c r="Q64" s="32"/>
      <c r="R64" s="55" t="s">
        <v>59</v>
      </c>
      <c r="S64" s="53"/>
    </row>
    <row r="65" spans="1:36">
      <c r="B65" s="57" t="s">
        <v>83</v>
      </c>
      <c r="Q65" s="32"/>
      <c r="R65" s="57" t="s">
        <v>59</v>
      </c>
      <c r="S65" s="58" t="s">
        <v>84</v>
      </c>
    </row>
    <row r="66" spans="1:36" s="59" customFormat="1">
      <c r="Q66" s="60"/>
      <c r="S66" s="61"/>
    </row>
    <row r="68" spans="1:36">
      <c r="S68" s="53"/>
    </row>
    <row r="69" spans="1:36" s="35" customFormat="1" ht="15">
      <c r="A69"/>
      <c r="B69" s="62" t="s">
        <v>35</v>
      </c>
      <c r="Q69" s="37"/>
      <c r="R69" s="37"/>
    </row>
    <row r="70" spans="1:36" s="35" customFormat="1" ht="19.5">
      <c r="A70"/>
      <c r="B70" s="39" t="s">
        <v>85</v>
      </c>
      <c r="Q70" s="37"/>
      <c r="R70" s="37"/>
      <c r="S70" s="39"/>
    </row>
    <row r="71" spans="1:36" s="35" customFormat="1" ht="15">
      <c r="A71"/>
      <c r="B71" s="63" t="s">
        <v>86</v>
      </c>
      <c r="Q71" s="37"/>
      <c r="R71" s="37"/>
    </row>
    <row r="72" spans="1:36">
      <c r="B72" s="41" t="s">
        <v>87</v>
      </c>
    </row>
    <row r="73" spans="1:36">
      <c r="B73" s="42" t="s">
        <v>88</v>
      </c>
    </row>
    <row r="74" spans="1:36">
      <c r="B74" s="42" t="s">
        <v>89</v>
      </c>
    </row>
    <row r="75" spans="1:36">
      <c r="B75" s="42" t="s">
        <v>90</v>
      </c>
    </row>
    <row r="77" spans="1:36" ht="13.5" thickBot="1">
      <c r="B77" s="43" t="s">
        <v>111</v>
      </c>
    </row>
    <row r="78" spans="1:36" ht="13.5" thickBot="1">
      <c r="B78" s="46">
        <v>1981</v>
      </c>
      <c r="C78" s="46">
        <v>1982</v>
      </c>
      <c r="D78" s="46">
        <v>1983</v>
      </c>
      <c r="E78" s="46">
        <v>1984</v>
      </c>
      <c r="F78" s="46">
        <v>1985</v>
      </c>
      <c r="G78" s="46">
        <v>1986</v>
      </c>
      <c r="H78" s="46">
        <v>1987</v>
      </c>
      <c r="I78" s="46">
        <v>1988</v>
      </c>
      <c r="J78" s="46">
        <v>1989</v>
      </c>
      <c r="K78" s="46">
        <v>1990</v>
      </c>
      <c r="L78" s="46">
        <v>1991</v>
      </c>
      <c r="M78" s="46">
        <v>1992</v>
      </c>
      <c r="N78" s="46">
        <v>1993</v>
      </c>
      <c r="O78" s="46">
        <v>1994</v>
      </c>
      <c r="P78" s="64">
        <v>1995</v>
      </c>
      <c r="Q78" s="65">
        <v>1996</v>
      </c>
      <c r="R78" s="65">
        <v>1997</v>
      </c>
      <c r="S78" s="46">
        <v>1998</v>
      </c>
      <c r="T78" s="46">
        <v>1999</v>
      </c>
      <c r="U78" s="46">
        <v>2000</v>
      </c>
      <c r="V78" s="46">
        <v>2001</v>
      </c>
      <c r="W78" s="46">
        <v>2002</v>
      </c>
      <c r="X78" s="46">
        <v>2003</v>
      </c>
      <c r="Y78" s="46">
        <v>2004</v>
      </c>
      <c r="Z78" s="46">
        <v>2005</v>
      </c>
      <c r="AA78" s="46">
        <v>2006</v>
      </c>
      <c r="AB78" s="46">
        <v>2007</v>
      </c>
      <c r="AC78" s="46">
        <v>2008</v>
      </c>
      <c r="AD78" s="46">
        <v>2009</v>
      </c>
      <c r="AE78" s="46">
        <v>2010</v>
      </c>
      <c r="AF78" s="46">
        <v>2011</v>
      </c>
      <c r="AG78" s="46">
        <v>2012</v>
      </c>
      <c r="AH78" s="46">
        <v>2013</v>
      </c>
      <c r="AI78" s="46">
        <v>2014</v>
      </c>
    </row>
    <row r="79" spans="1:36" ht="13.5" thickBot="1">
      <c r="B79" s="400">
        <v>47.7</v>
      </c>
      <c r="C79" s="400">
        <v>52.2</v>
      </c>
      <c r="D79" s="400">
        <v>55.1</v>
      </c>
      <c r="E79" s="400">
        <v>57.4</v>
      </c>
      <c r="F79" s="400">
        <v>59.5</v>
      </c>
      <c r="G79" s="400">
        <v>61.8</v>
      </c>
      <c r="H79" s="400">
        <v>64.3</v>
      </c>
      <c r="I79" s="400">
        <v>66.8</v>
      </c>
      <c r="J79" s="400">
        <v>69.7</v>
      </c>
      <c r="K79" s="400">
        <v>72.400000000000006</v>
      </c>
      <c r="L79" s="400">
        <v>74.8</v>
      </c>
      <c r="M79" s="400">
        <v>76.3</v>
      </c>
      <c r="N79" s="400">
        <v>77.7</v>
      </c>
      <c r="O79" s="400">
        <v>79</v>
      </c>
      <c r="P79" s="413">
        <v>79.900000000000006</v>
      </c>
      <c r="Q79" s="414">
        <v>80.8</v>
      </c>
      <c r="R79" s="414">
        <v>82</v>
      </c>
      <c r="S79" s="400">
        <v>83.2</v>
      </c>
      <c r="T79" s="400">
        <v>84.4</v>
      </c>
      <c r="U79" s="400">
        <v>86.5</v>
      </c>
      <c r="V79" s="400">
        <v>88.2</v>
      </c>
      <c r="W79" s="400">
        <v>90.2</v>
      </c>
      <c r="X79" s="400">
        <v>91.7</v>
      </c>
      <c r="Y79" s="400">
        <v>93.4</v>
      </c>
      <c r="Z79" s="400">
        <v>95.4</v>
      </c>
      <c r="AA79" s="400">
        <v>97.7</v>
      </c>
      <c r="AB79" s="400">
        <v>100</v>
      </c>
      <c r="AC79" s="400">
        <v>102.5</v>
      </c>
      <c r="AD79" s="400">
        <v>103.7</v>
      </c>
      <c r="AE79" s="400">
        <v>104.8</v>
      </c>
      <c r="AF79" s="400">
        <v>107.3</v>
      </c>
      <c r="AG79" s="400">
        <v>109.1</v>
      </c>
      <c r="AH79" s="400">
        <v>111</v>
      </c>
      <c r="AI79" s="400">
        <v>113.4</v>
      </c>
    </row>
    <row r="80" spans="1:36">
      <c r="B80" s="110"/>
      <c r="C80" s="112">
        <f t="shared" ref="C80:AE80" si="10">LN(C79/B79)</f>
        <v>9.0151096994297478E-2</v>
      </c>
      <c r="D80" s="112">
        <f t="shared" si="10"/>
        <v>5.4067221270275793E-2</v>
      </c>
      <c r="E80" s="112">
        <f t="shared" si="10"/>
        <v>4.089458716665182E-2</v>
      </c>
      <c r="F80" s="112">
        <f t="shared" si="10"/>
        <v>3.593200922606337E-2</v>
      </c>
      <c r="G80" s="112">
        <f t="shared" si="10"/>
        <v>3.7927051912060882E-2</v>
      </c>
      <c r="H80" s="112">
        <f t="shared" si="10"/>
        <v>3.9656266779928527E-2</v>
      </c>
      <c r="I80" s="112">
        <f t="shared" si="10"/>
        <v>3.8143449299026445E-2</v>
      </c>
      <c r="J80" s="112">
        <f t="shared" si="10"/>
        <v>4.2497237223878138E-2</v>
      </c>
      <c r="K80" s="112">
        <f t="shared" si="10"/>
        <v>3.8005981625192552E-2</v>
      </c>
      <c r="L80" s="112">
        <f t="shared" si="10"/>
        <v>3.2611585588760796E-2</v>
      </c>
      <c r="M80" s="112">
        <f t="shared" si="10"/>
        <v>1.985505330997973E-2</v>
      </c>
      <c r="N80" s="112">
        <f t="shared" si="10"/>
        <v>1.8182319083190547E-2</v>
      </c>
      <c r="O80" s="112">
        <f t="shared" si="10"/>
        <v>1.6592595093419631E-2</v>
      </c>
      <c r="P80" s="112">
        <f t="shared" si="10"/>
        <v>1.132800030520755E-2</v>
      </c>
      <c r="Q80" s="112">
        <f t="shared" si="10"/>
        <v>1.1201112754820696E-2</v>
      </c>
      <c r="R80" s="112">
        <f t="shared" si="10"/>
        <v>1.4742281737203431E-2</v>
      </c>
      <c r="S80" s="112">
        <f t="shared" si="10"/>
        <v>1.4528100562909808E-2</v>
      </c>
      <c r="T80" s="112">
        <f t="shared" si="10"/>
        <v>1.4320053774748471E-2</v>
      </c>
      <c r="U80" s="112">
        <f t="shared" si="10"/>
        <v>2.457701233592216E-2</v>
      </c>
      <c r="V80" s="112">
        <f t="shared" si="10"/>
        <v>1.9462549074912027E-2</v>
      </c>
      <c r="W80" s="112">
        <f t="shared" si="10"/>
        <v>2.2422464055832307E-2</v>
      </c>
      <c r="X80" s="112">
        <f t="shared" si="10"/>
        <v>1.6492952193841167E-2</v>
      </c>
      <c r="Y80" s="112">
        <f t="shared" si="10"/>
        <v>1.8368965972377756E-2</v>
      </c>
      <c r="Z80" s="112">
        <f t="shared" si="10"/>
        <v>2.1187233219443845E-2</v>
      </c>
      <c r="AA80" s="112">
        <f t="shared" si="10"/>
        <v>2.3822980594496244E-2</v>
      </c>
      <c r="AB80" s="112">
        <f t="shared" si="10"/>
        <v>2.3268626939354269E-2</v>
      </c>
      <c r="AC80" s="112">
        <f t="shared" si="10"/>
        <v>2.4692612590371414E-2</v>
      </c>
      <c r="AD80" s="112">
        <f t="shared" si="10"/>
        <v>1.1639316657018787E-2</v>
      </c>
      <c r="AE80" s="112">
        <f t="shared" si="10"/>
        <v>1.0551656651460142E-2</v>
      </c>
      <c r="AF80" s="112">
        <f>LN(AF79/AE79)</f>
        <v>2.3574877749711079E-2</v>
      </c>
      <c r="AG80" s="112">
        <f>LN(AG79/AF79)</f>
        <v>1.6636243202372291E-2</v>
      </c>
      <c r="AH80" s="112">
        <f t="shared" ref="AH80:AI80" si="11">LN(AH79/AG79)</f>
        <v>1.7265308473309048E-2</v>
      </c>
      <c r="AI80" s="112">
        <f t="shared" si="11"/>
        <v>2.139118998131756E-2</v>
      </c>
      <c r="AJ80" s="111">
        <f t="shared" ref="AJ80" si="12">AVERAGE(AF80:AI80)</f>
        <v>1.9716904851677496E-2</v>
      </c>
    </row>
    <row r="81" spans="2:36">
      <c r="B81" s="110"/>
      <c r="C81" s="110"/>
      <c r="D81" s="110"/>
      <c r="E81" s="110"/>
      <c r="F81" s="110"/>
      <c r="G81" s="110"/>
      <c r="H81" s="110"/>
      <c r="I81" s="110"/>
      <c r="J81" s="110"/>
      <c r="K81" s="110"/>
      <c r="L81" s="110"/>
      <c r="M81" s="110"/>
      <c r="N81" s="110"/>
      <c r="O81" s="110"/>
      <c r="P81" s="110"/>
      <c r="Q81" s="110"/>
      <c r="R81" s="110"/>
      <c r="S81" s="110"/>
      <c r="T81" s="110"/>
      <c r="U81" s="110">
        <v>1</v>
      </c>
      <c r="V81" s="110">
        <f>U81*(1+V80)</f>
        <v>1.0194625490749121</v>
      </c>
      <c r="W81" s="110">
        <f t="shared" ref="W81:AF81" si="13">V81*(1+W80)</f>
        <v>1.0423214114378114</v>
      </c>
      <c r="X81" s="110">
        <f t="shared" si="13"/>
        <v>1.0595123686472723</v>
      </c>
      <c r="Y81" s="110">
        <f t="shared" si="13"/>
        <v>1.0789745152942674</v>
      </c>
      <c r="Z81" s="110">
        <f t="shared" si="13"/>
        <v>1.1018349999876433</v>
      </c>
      <c r="AA81" s="110">
        <f t="shared" si="13"/>
        <v>1.1280839938106857</v>
      </c>
      <c r="AB81" s="110">
        <f t="shared" si="13"/>
        <v>1.1543329594189233</v>
      </c>
      <c r="AC81" s="110">
        <f t="shared" si="13"/>
        <v>1.1828364559861517</v>
      </c>
      <c r="AD81" s="110">
        <f t="shared" si="13"/>
        <v>1.1966038640508405</v>
      </c>
      <c r="AE81" s="110">
        <f t="shared" si="13"/>
        <v>1.2092300171721153</v>
      </c>
      <c r="AF81" s="110">
        <f t="shared" si="13"/>
        <v>1.2377374669982291</v>
      </c>
      <c r="AG81" s="110">
        <f>AF81*(1+AG80)</f>
        <v>1.2583287685198998</v>
      </c>
      <c r="AH81" s="110">
        <f t="shared" ref="AH81:AI81" si="14">AG81*(1+AH80)</f>
        <v>1.280054202869235</v>
      </c>
      <c r="AI81" s="110">
        <f t="shared" si="14"/>
        <v>1.3074360855091947</v>
      </c>
    </row>
    <row r="82" spans="2:36">
      <c r="B82" s="110"/>
      <c r="C82" s="110"/>
      <c r="D82" s="110"/>
      <c r="E82" s="110"/>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row>
    <row r="83" spans="2:36" ht="13.5" thickBot="1">
      <c r="B83" s="43" t="s">
        <v>112</v>
      </c>
    </row>
    <row r="84" spans="2:36" ht="13.5" thickBot="1">
      <c r="B84" s="46">
        <v>1981</v>
      </c>
      <c r="C84" s="46">
        <v>1982</v>
      </c>
      <c r="D84" s="46">
        <v>1983</v>
      </c>
      <c r="E84" s="46">
        <v>1984</v>
      </c>
      <c r="F84" s="46">
        <v>1985</v>
      </c>
      <c r="G84" s="46">
        <v>1986</v>
      </c>
      <c r="H84" s="46">
        <v>1987</v>
      </c>
      <c r="I84" s="46">
        <v>1988</v>
      </c>
      <c r="J84" s="46">
        <v>1989</v>
      </c>
      <c r="K84" s="46">
        <v>1990</v>
      </c>
      <c r="L84" s="46">
        <v>1991</v>
      </c>
      <c r="M84" s="46">
        <v>1992</v>
      </c>
      <c r="N84" s="46">
        <v>1993</v>
      </c>
      <c r="O84" s="46">
        <v>1994</v>
      </c>
      <c r="P84" s="64">
        <v>1995</v>
      </c>
      <c r="Q84" s="65">
        <v>1996</v>
      </c>
      <c r="R84" s="65">
        <v>1997</v>
      </c>
      <c r="S84" s="46">
        <v>1998</v>
      </c>
      <c r="T84" s="46">
        <v>1999</v>
      </c>
      <c r="U84" s="46">
        <v>2000</v>
      </c>
      <c r="V84" s="46">
        <v>2001</v>
      </c>
      <c r="W84" s="46">
        <v>2002</v>
      </c>
      <c r="X84" s="46">
        <v>2003</v>
      </c>
      <c r="Y84" s="46">
        <v>2004</v>
      </c>
      <c r="Z84" s="46">
        <v>2005</v>
      </c>
      <c r="AA84" s="46">
        <v>2006</v>
      </c>
      <c r="AB84" s="46">
        <v>2007</v>
      </c>
      <c r="AC84" s="46">
        <v>2008</v>
      </c>
      <c r="AD84" s="46">
        <v>2009</v>
      </c>
      <c r="AE84" s="46">
        <v>2010</v>
      </c>
      <c r="AF84" s="46">
        <v>2011</v>
      </c>
      <c r="AG84" s="46">
        <v>2012</v>
      </c>
      <c r="AH84" s="46">
        <v>2013</v>
      </c>
      <c r="AI84" s="46">
        <v>2014</v>
      </c>
    </row>
    <row r="85" spans="2:36" ht="13.5" thickBot="1">
      <c r="B85" s="400">
        <v>48.1</v>
      </c>
      <c r="C85" s="400">
        <v>52.6</v>
      </c>
      <c r="D85" s="400">
        <v>55.8</v>
      </c>
      <c r="E85" s="400">
        <v>58.3</v>
      </c>
      <c r="F85" s="400">
        <v>60.6</v>
      </c>
      <c r="G85" s="400">
        <v>63.2</v>
      </c>
      <c r="H85" s="400">
        <v>66.400000000000006</v>
      </c>
      <c r="I85" s="400">
        <v>69.400000000000006</v>
      </c>
      <c r="J85" s="400">
        <v>72.7</v>
      </c>
      <c r="K85" s="400">
        <v>75.099999999999994</v>
      </c>
      <c r="L85" s="400">
        <v>77.5</v>
      </c>
      <c r="M85" s="400">
        <v>78.400000000000006</v>
      </c>
      <c r="N85" s="400">
        <v>79.900000000000006</v>
      </c>
      <c r="O85" s="400">
        <v>81</v>
      </c>
      <c r="P85" s="400">
        <v>81.900000000000006</v>
      </c>
      <c r="Q85" s="400">
        <v>82.6</v>
      </c>
      <c r="R85" s="400">
        <v>83.9</v>
      </c>
      <c r="S85" s="400">
        <v>85.3</v>
      </c>
      <c r="T85" s="400">
        <v>86.2</v>
      </c>
      <c r="U85" s="400">
        <v>88.2</v>
      </c>
      <c r="V85" s="400">
        <v>90</v>
      </c>
      <c r="W85" s="400">
        <v>91.9</v>
      </c>
      <c r="X85" s="400">
        <v>93.4</v>
      </c>
      <c r="Y85" s="400">
        <v>95</v>
      </c>
      <c r="Z85" s="400">
        <v>96.8</v>
      </c>
      <c r="AA85" s="400">
        <v>98.3</v>
      </c>
      <c r="AB85" s="400">
        <v>100</v>
      </c>
      <c r="AC85" s="400">
        <v>102.2</v>
      </c>
      <c r="AD85" s="400">
        <v>103.3</v>
      </c>
      <c r="AE85" s="400">
        <v>104.5</v>
      </c>
      <c r="AF85" s="400">
        <v>107</v>
      </c>
      <c r="AG85" s="400">
        <v>108.7</v>
      </c>
      <c r="AH85" s="400">
        <v>110.7</v>
      </c>
      <c r="AI85" s="400">
        <v>113</v>
      </c>
    </row>
    <row r="86" spans="2:36">
      <c r="B86" s="110"/>
      <c r="C86" s="112">
        <f>LN(C85/B85)</f>
        <v>8.9433942631948635E-2</v>
      </c>
      <c r="D86" s="112">
        <f t="shared" ref="D86:AD86" si="15">LN(D85/C85)</f>
        <v>5.9057749643600943E-2</v>
      </c>
      <c r="E86" s="112">
        <f t="shared" si="15"/>
        <v>4.3828223969181471E-2</v>
      </c>
      <c r="F86" s="112">
        <f t="shared" si="15"/>
        <v>3.8692799718822203E-2</v>
      </c>
      <c r="G86" s="112">
        <f t="shared" si="15"/>
        <v>4.2009408077542935E-2</v>
      </c>
      <c r="H86" s="112">
        <f t="shared" si="15"/>
        <v>4.9392755329576474E-2</v>
      </c>
      <c r="I86" s="112">
        <f t="shared" si="15"/>
        <v>4.4189811030370549E-2</v>
      </c>
      <c r="J86" s="112">
        <f t="shared" si="15"/>
        <v>4.6454517026714916E-2</v>
      </c>
      <c r="K86" s="112">
        <f t="shared" si="15"/>
        <v>3.2479174230615304E-2</v>
      </c>
      <c r="L86" s="112">
        <f t="shared" si="15"/>
        <v>3.1457377589212243E-2</v>
      </c>
      <c r="M86" s="112">
        <f t="shared" si="15"/>
        <v>1.1545990997060948E-2</v>
      </c>
      <c r="N86" s="112">
        <f t="shared" si="15"/>
        <v>1.8951925415866908E-2</v>
      </c>
      <c r="O86" s="112">
        <f t="shared" si="15"/>
        <v>1.3673301900209642E-2</v>
      </c>
      <c r="P86" s="112">
        <f t="shared" si="15"/>
        <v>1.1049836186584935E-2</v>
      </c>
      <c r="Q86" s="112">
        <f t="shared" si="15"/>
        <v>8.5106896679086105E-3</v>
      </c>
      <c r="R86" s="112">
        <f t="shared" si="15"/>
        <v>1.5615932946228164E-2</v>
      </c>
      <c r="S86" s="112">
        <f t="shared" si="15"/>
        <v>1.6548841024472929E-2</v>
      </c>
      <c r="T86" s="112">
        <f t="shared" si="15"/>
        <v>1.0495723172014091E-2</v>
      </c>
      <c r="U86" s="112">
        <f t="shared" si="15"/>
        <v>2.2936785343098232E-2</v>
      </c>
      <c r="V86" s="112">
        <f t="shared" si="15"/>
        <v>2.0202707317519469E-2</v>
      </c>
      <c r="W86" s="112">
        <f t="shared" si="15"/>
        <v>2.0891359031376268E-2</v>
      </c>
      <c r="X86" s="112">
        <f t="shared" si="15"/>
        <v>1.6190315873155638E-2</v>
      </c>
      <c r="Y86" s="112">
        <f t="shared" si="15"/>
        <v>1.6985546365743807E-2</v>
      </c>
      <c r="Z86" s="112">
        <f t="shared" si="15"/>
        <v>1.8770102681990468E-2</v>
      </c>
      <c r="AA86" s="112">
        <f t="shared" si="15"/>
        <v>1.5377032870589512E-2</v>
      </c>
      <c r="AB86" s="112">
        <f t="shared" si="15"/>
        <v>1.7146158834970584E-2</v>
      </c>
      <c r="AC86" s="112">
        <f t="shared" si="15"/>
        <v>2.176149178151271E-2</v>
      </c>
      <c r="AD86" s="112">
        <f t="shared" si="15"/>
        <v>1.0705698355988721E-2</v>
      </c>
      <c r="AE86" s="112">
        <f>LN(AE85/AD85)</f>
        <v>1.1549695279272789E-2</v>
      </c>
      <c r="AF86" s="112">
        <f t="shared" ref="AF86:AI86" si="16">LN(AF85/AE85)</f>
        <v>2.3641763057040494E-2</v>
      </c>
      <c r="AG86" s="112">
        <f t="shared" si="16"/>
        <v>1.5762959665257554E-2</v>
      </c>
      <c r="AH86" s="112">
        <f t="shared" si="16"/>
        <v>1.8232045587427425E-2</v>
      </c>
      <c r="AI86" s="112">
        <f t="shared" si="16"/>
        <v>2.0563978997749449E-2</v>
      </c>
      <c r="AJ86" s="111">
        <f>AVERAGE(AF86:AI86)</f>
        <v>1.955018682686873E-2</v>
      </c>
    </row>
    <row r="87" spans="2:36">
      <c r="B87" s="110"/>
      <c r="C87" s="110"/>
      <c r="D87" s="110"/>
      <c r="E87" s="110"/>
      <c r="F87" s="110"/>
      <c r="G87" s="110"/>
      <c r="H87" s="110"/>
      <c r="I87" s="110"/>
      <c r="J87" s="110"/>
      <c r="K87" s="110"/>
      <c r="L87" s="110"/>
      <c r="M87" s="110"/>
      <c r="N87" s="110"/>
      <c r="O87" s="110"/>
      <c r="P87" s="110"/>
      <c r="Q87" s="110"/>
      <c r="R87" s="110"/>
      <c r="S87" s="110"/>
      <c r="T87" s="110"/>
      <c r="U87" s="110">
        <v>1</v>
      </c>
      <c r="V87" s="110">
        <f t="shared" ref="V87:AD87" si="17">U87*(1+V86)</f>
        <v>1.0202027073175195</v>
      </c>
      <c r="W87" s="110">
        <f t="shared" si="17"/>
        <v>1.0415161283608718</v>
      </c>
      <c r="X87" s="110">
        <f t="shared" si="17"/>
        <v>1.0583786034660203</v>
      </c>
      <c r="Y87" s="110">
        <f t="shared" si="17"/>
        <v>1.0763557423077035</v>
      </c>
      <c r="Z87" s="110">
        <f t="shared" si="17"/>
        <v>1.096559050113169</v>
      </c>
      <c r="AA87" s="110">
        <f t="shared" si="17"/>
        <v>1.1134208746713017</v>
      </c>
      <c r="AB87" s="110">
        <f t="shared" si="17"/>
        <v>1.1325117658385877</v>
      </c>
      <c r="AC87" s="110">
        <f t="shared" si="17"/>
        <v>1.1571569113233506</v>
      </c>
      <c r="AD87" s="110">
        <f t="shared" si="17"/>
        <v>1.169545084166526</v>
      </c>
      <c r="AE87" s="110">
        <f>AD87*(1+AE86)</f>
        <v>1.1830529735040209</v>
      </c>
      <c r="AF87" s="110">
        <f t="shared" ref="AF87:AI87" si="18">AE87*(1+AF86)</f>
        <v>1.2110224315875302</v>
      </c>
      <c r="AG87" s="110">
        <f t="shared" si="18"/>
        <v>1.2301117293303665</v>
      </c>
      <c r="AH87" s="110">
        <f t="shared" si="18"/>
        <v>1.252539182457147</v>
      </c>
      <c r="AI87" s="110">
        <f t="shared" si="18"/>
        <v>1.2782963718990541</v>
      </c>
    </row>
    <row r="88" spans="2:36">
      <c r="B88" s="110"/>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row>
    <row r="89" spans="2:36">
      <c r="B89" s="110"/>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row>
    <row r="90" spans="2:36" ht="13.5" thickBot="1">
      <c r="B90" s="43"/>
      <c r="C90" s="43" t="s">
        <v>111</v>
      </c>
      <c r="D90" s="43" t="s">
        <v>112</v>
      </c>
    </row>
    <row r="91" spans="2:36" ht="13.5" thickBot="1">
      <c r="B91" s="46">
        <v>1981</v>
      </c>
      <c r="C91" s="416">
        <f>AVERAGEIF($B$78:$AI$78,$B91,$B$79:$AI$79)</f>
        <v>47.7</v>
      </c>
      <c r="D91" s="416">
        <f>AVERAGEIF($B$78:$AI$78,$B91,$B$85:$AI$85)</f>
        <v>48.1</v>
      </c>
    </row>
    <row r="92" spans="2:36" ht="13.5" thickBot="1">
      <c r="B92" s="46">
        <v>1982</v>
      </c>
      <c r="C92" s="416">
        <f t="shared" ref="C92:C124" si="19">AVERAGEIF($B$78:$AI$78,$B92,$B$79:$AI$79)</f>
        <v>52.2</v>
      </c>
      <c r="D92" s="416">
        <f t="shared" ref="D92:D124" si="20">AVERAGEIF($B$78:$AI$78,$B92,$B$85:$AI$85)</f>
        <v>52.6</v>
      </c>
    </row>
    <row r="93" spans="2:36" ht="13.5" thickBot="1">
      <c r="B93" s="46">
        <v>1983</v>
      </c>
      <c r="C93" s="416">
        <f t="shared" si="19"/>
        <v>55.1</v>
      </c>
      <c r="D93" s="416">
        <f t="shared" si="20"/>
        <v>55.8</v>
      </c>
    </row>
    <row r="94" spans="2:36" ht="13.5" thickBot="1">
      <c r="B94" s="46">
        <v>1984</v>
      </c>
      <c r="C94" s="416">
        <f t="shared" si="19"/>
        <v>57.4</v>
      </c>
      <c r="D94" s="416">
        <f t="shared" si="20"/>
        <v>58.3</v>
      </c>
    </row>
    <row r="95" spans="2:36" ht="13.5" thickBot="1">
      <c r="B95" s="46">
        <v>1985</v>
      </c>
      <c r="C95" s="416">
        <f t="shared" si="19"/>
        <v>59.5</v>
      </c>
      <c r="D95" s="416">
        <f t="shared" si="20"/>
        <v>60.6</v>
      </c>
    </row>
    <row r="96" spans="2:36" ht="13.5" thickBot="1">
      <c r="B96" s="46">
        <v>1986</v>
      </c>
      <c r="C96" s="416">
        <f t="shared" si="19"/>
        <v>61.8</v>
      </c>
      <c r="D96" s="416">
        <f t="shared" si="20"/>
        <v>63.2</v>
      </c>
    </row>
    <row r="97" spans="2:4" ht="13.5" thickBot="1">
      <c r="B97" s="46">
        <v>1987</v>
      </c>
      <c r="C97" s="416">
        <f t="shared" si="19"/>
        <v>64.3</v>
      </c>
      <c r="D97" s="416">
        <f t="shared" si="20"/>
        <v>66.400000000000006</v>
      </c>
    </row>
    <row r="98" spans="2:4" ht="13.5" thickBot="1">
      <c r="B98" s="46">
        <v>1988</v>
      </c>
      <c r="C98" s="416">
        <f t="shared" si="19"/>
        <v>66.8</v>
      </c>
      <c r="D98" s="416">
        <f t="shared" si="20"/>
        <v>69.400000000000006</v>
      </c>
    </row>
    <row r="99" spans="2:4" ht="13.5" thickBot="1">
      <c r="B99" s="46">
        <v>1989</v>
      </c>
      <c r="C99" s="416">
        <f t="shared" si="19"/>
        <v>69.7</v>
      </c>
      <c r="D99" s="416">
        <f t="shared" si="20"/>
        <v>72.7</v>
      </c>
    </row>
    <row r="100" spans="2:4" ht="13.5" thickBot="1">
      <c r="B100" s="46">
        <v>1990</v>
      </c>
      <c r="C100" s="416">
        <f t="shared" si="19"/>
        <v>72.400000000000006</v>
      </c>
      <c r="D100" s="416">
        <f t="shared" si="20"/>
        <v>75.099999999999994</v>
      </c>
    </row>
    <row r="101" spans="2:4" ht="13.5" thickBot="1">
      <c r="B101" s="46">
        <v>1991</v>
      </c>
      <c r="C101" s="416">
        <f t="shared" si="19"/>
        <v>74.8</v>
      </c>
      <c r="D101" s="416">
        <f t="shared" si="20"/>
        <v>77.5</v>
      </c>
    </row>
    <row r="102" spans="2:4" ht="13.5" thickBot="1">
      <c r="B102" s="46">
        <v>1992</v>
      </c>
      <c r="C102" s="416">
        <f t="shared" si="19"/>
        <v>76.3</v>
      </c>
      <c r="D102" s="416">
        <f t="shared" si="20"/>
        <v>78.400000000000006</v>
      </c>
    </row>
    <row r="103" spans="2:4" ht="13.5" thickBot="1">
      <c r="B103" s="46">
        <v>1993</v>
      </c>
      <c r="C103" s="416">
        <f t="shared" si="19"/>
        <v>77.7</v>
      </c>
      <c r="D103" s="416">
        <f t="shared" si="20"/>
        <v>79.900000000000006</v>
      </c>
    </row>
    <row r="104" spans="2:4" ht="13.5" thickBot="1">
      <c r="B104" s="46">
        <v>1994</v>
      </c>
      <c r="C104" s="416">
        <f t="shared" si="19"/>
        <v>79</v>
      </c>
      <c r="D104" s="416">
        <f t="shared" si="20"/>
        <v>81</v>
      </c>
    </row>
    <row r="105" spans="2:4" ht="13.5" thickBot="1">
      <c r="B105" s="46">
        <v>1995</v>
      </c>
      <c r="C105" s="416">
        <f t="shared" si="19"/>
        <v>79.900000000000006</v>
      </c>
      <c r="D105" s="416">
        <f t="shared" si="20"/>
        <v>81.900000000000006</v>
      </c>
    </row>
    <row r="106" spans="2:4" ht="13.5" thickBot="1">
      <c r="B106" s="46">
        <v>1996</v>
      </c>
      <c r="C106" s="416">
        <f t="shared" si="19"/>
        <v>80.8</v>
      </c>
      <c r="D106" s="416">
        <f t="shared" si="20"/>
        <v>82.6</v>
      </c>
    </row>
    <row r="107" spans="2:4" ht="13.5" thickBot="1">
      <c r="B107" s="46">
        <v>1997</v>
      </c>
      <c r="C107" s="416">
        <f t="shared" si="19"/>
        <v>82</v>
      </c>
      <c r="D107" s="416">
        <f t="shared" si="20"/>
        <v>83.9</v>
      </c>
    </row>
    <row r="108" spans="2:4" ht="13.5" thickBot="1">
      <c r="B108" s="46">
        <v>1998</v>
      </c>
      <c r="C108" s="416">
        <f t="shared" si="19"/>
        <v>83.2</v>
      </c>
      <c r="D108" s="416">
        <f t="shared" si="20"/>
        <v>85.3</v>
      </c>
    </row>
    <row r="109" spans="2:4" ht="13.5" thickBot="1">
      <c r="B109" s="46">
        <v>1999</v>
      </c>
      <c r="C109" s="416">
        <f t="shared" si="19"/>
        <v>84.4</v>
      </c>
      <c r="D109" s="416">
        <f t="shared" si="20"/>
        <v>86.2</v>
      </c>
    </row>
    <row r="110" spans="2:4" ht="13.5" thickBot="1">
      <c r="B110" s="46">
        <v>2000</v>
      </c>
      <c r="C110" s="416">
        <f t="shared" si="19"/>
        <v>86.5</v>
      </c>
      <c r="D110" s="416">
        <f t="shared" si="20"/>
        <v>88.2</v>
      </c>
    </row>
    <row r="111" spans="2:4" ht="13.5" thickBot="1">
      <c r="B111" s="46">
        <v>2001</v>
      </c>
      <c r="C111" s="416">
        <f t="shared" si="19"/>
        <v>88.2</v>
      </c>
      <c r="D111" s="416">
        <f t="shared" si="20"/>
        <v>90</v>
      </c>
    </row>
    <row r="112" spans="2:4" ht="13.5" thickBot="1">
      <c r="B112" s="46">
        <v>2002</v>
      </c>
      <c r="C112" s="416">
        <f t="shared" si="19"/>
        <v>90.2</v>
      </c>
      <c r="D112" s="416">
        <f t="shared" si="20"/>
        <v>91.9</v>
      </c>
    </row>
    <row r="113" spans="2:4" ht="13.5" thickBot="1">
      <c r="B113" s="46">
        <v>2003</v>
      </c>
      <c r="C113" s="416">
        <f t="shared" si="19"/>
        <v>91.7</v>
      </c>
      <c r="D113" s="416">
        <f t="shared" si="20"/>
        <v>93.4</v>
      </c>
    </row>
    <row r="114" spans="2:4" ht="13.5" thickBot="1">
      <c r="B114" s="46">
        <v>2004</v>
      </c>
      <c r="C114" s="416">
        <f t="shared" si="19"/>
        <v>93.4</v>
      </c>
      <c r="D114" s="416">
        <f t="shared" si="20"/>
        <v>95</v>
      </c>
    </row>
    <row r="115" spans="2:4" ht="13.5" thickBot="1">
      <c r="B115" s="46">
        <v>2005</v>
      </c>
      <c r="C115" s="416">
        <f t="shared" si="19"/>
        <v>95.4</v>
      </c>
      <c r="D115" s="416">
        <f t="shared" si="20"/>
        <v>96.8</v>
      </c>
    </row>
    <row r="116" spans="2:4" ht="13.5" thickBot="1">
      <c r="B116" s="46">
        <v>2006</v>
      </c>
      <c r="C116" s="416">
        <f t="shared" si="19"/>
        <v>97.7</v>
      </c>
      <c r="D116" s="416">
        <f t="shared" si="20"/>
        <v>98.3</v>
      </c>
    </row>
    <row r="117" spans="2:4" ht="13.5" thickBot="1">
      <c r="B117" s="46">
        <v>2007</v>
      </c>
      <c r="C117" s="416">
        <f t="shared" si="19"/>
        <v>100</v>
      </c>
      <c r="D117" s="416">
        <f t="shared" si="20"/>
        <v>100</v>
      </c>
    </row>
    <row r="118" spans="2:4" ht="13.5" thickBot="1">
      <c r="B118" s="46">
        <v>2008</v>
      </c>
      <c r="C118" s="416">
        <f t="shared" si="19"/>
        <v>102.5</v>
      </c>
      <c r="D118" s="416">
        <f t="shared" si="20"/>
        <v>102.2</v>
      </c>
    </row>
    <row r="119" spans="2:4" ht="13.5" thickBot="1">
      <c r="B119" s="46">
        <v>2009</v>
      </c>
      <c r="C119" s="416">
        <f t="shared" si="19"/>
        <v>103.7</v>
      </c>
      <c r="D119" s="416">
        <f t="shared" si="20"/>
        <v>103.3</v>
      </c>
    </row>
    <row r="120" spans="2:4" ht="13.5" thickBot="1">
      <c r="B120" s="46">
        <v>2010</v>
      </c>
      <c r="C120" s="416">
        <f t="shared" si="19"/>
        <v>104.8</v>
      </c>
      <c r="D120" s="416">
        <f t="shared" si="20"/>
        <v>104.5</v>
      </c>
    </row>
    <row r="121" spans="2:4" ht="13.5" thickBot="1">
      <c r="B121" s="46">
        <v>2011</v>
      </c>
      <c r="C121" s="416">
        <f t="shared" si="19"/>
        <v>107.3</v>
      </c>
      <c r="D121" s="416">
        <f t="shared" si="20"/>
        <v>107</v>
      </c>
    </row>
    <row r="122" spans="2:4" ht="13.5" thickBot="1">
      <c r="B122" s="46">
        <v>2012</v>
      </c>
      <c r="C122" s="416">
        <f t="shared" si="19"/>
        <v>109.1</v>
      </c>
      <c r="D122" s="416">
        <f t="shared" si="20"/>
        <v>108.7</v>
      </c>
    </row>
    <row r="123" spans="2:4" ht="13.5" thickBot="1">
      <c r="B123" s="46">
        <v>2013</v>
      </c>
      <c r="C123" s="416">
        <f>AVERAGEIF($B$78:$AI$78,$B123,$B$79:$AI$79)</f>
        <v>111</v>
      </c>
      <c r="D123" s="416">
        <f>AVERAGEIF($B$78:$AI$78,$B123,$B$85:$AI$85)</f>
        <v>110.7</v>
      </c>
    </row>
    <row r="124" spans="2:4" ht="13.5" thickBot="1">
      <c r="B124" s="46">
        <v>2014</v>
      </c>
      <c r="C124" s="416">
        <f t="shared" si="19"/>
        <v>113.4</v>
      </c>
      <c r="D124" s="416">
        <f t="shared" si="20"/>
        <v>113</v>
      </c>
    </row>
  </sheetData>
  <hyperlinks>
    <hyperlink ref="T62" r:id="rId1" display="http://www5.statcan.gc.ca/cansim/a03?searchTypeByValue=1&amp;lang=eng&amp;pattern=2810063"/>
  </hyperlinks>
  <pageMargins left="0.7" right="0.7" top="0.75" bottom="0.75" header="0.3" footer="0.3"/>
  <pageSetup orientation="landscape" r:id="rId2"/>
  <headerFooter>
    <oddHeader>&amp;CFiled: 2016-10-26, EB-2016-0152
Exhibit L, Tab 11.1, Schedule 1 Staff-246
Attachment 2</oddHeader>
  </headerFooter>
  <rowBreaks count="1" manualBreakCount="1">
    <brk id="66" max="16383"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32"/>
  <sheetViews>
    <sheetView showGridLines="0" tabSelected="1" view="pageLayout" zoomScaleNormal="100" workbookViewId="0">
      <selection activeCell="A2" sqref="A2"/>
    </sheetView>
  </sheetViews>
  <sheetFormatPr defaultRowHeight="12.75"/>
  <cols>
    <col min="1" max="1" width="2.85546875" style="338" customWidth="1"/>
    <col min="2" max="2" width="16" style="338" customWidth="1"/>
    <col min="3" max="12" width="9.140625" style="338"/>
    <col min="13" max="14" width="9.140625" style="338" customWidth="1"/>
    <col min="15" max="15" width="9.140625" style="338"/>
    <col min="16" max="16" width="13.140625" style="338" bestFit="1" customWidth="1"/>
    <col min="17" max="16384" width="9.140625" style="338"/>
  </cols>
  <sheetData>
    <row r="1" spans="2:28" ht="18">
      <c r="B1" s="430" t="s">
        <v>279</v>
      </c>
      <c r="C1" s="431"/>
      <c r="D1" s="431"/>
      <c r="E1" s="431"/>
      <c r="F1" s="431"/>
      <c r="G1" s="431"/>
      <c r="H1" s="339"/>
      <c r="M1" s="434" t="s">
        <v>187</v>
      </c>
      <c r="N1" s="435"/>
      <c r="O1" s="435"/>
      <c r="P1" s="435"/>
      <c r="Q1" s="435"/>
      <c r="R1" s="435"/>
      <c r="S1" s="435"/>
      <c r="T1" s="435"/>
      <c r="U1" s="435"/>
      <c r="V1" s="435"/>
      <c r="W1" s="435"/>
      <c r="X1" s="435"/>
      <c r="Y1" s="435"/>
      <c r="Z1" s="435"/>
      <c r="AA1" s="435"/>
      <c r="AB1" s="435"/>
    </row>
    <row r="2" spans="2:28" ht="16.5">
      <c r="B2" s="430" t="s">
        <v>280</v>
      </c>
      <c r="C2" s="431"/>
      <c r="D2" s="431"/>
      <c r="E2" s="431"/>
      <c r="F2" s="431"/>
      <c r="G2" s="431"/>
      <c r="H2" s="339"/>
      <c r="M2" s="436" t="s">
        <v>188</v>
      </c>
      <c r="N2" s="435"/>
      <c r="O2" s="435"/>
      <c r="P2" s="435"/>
      <c r="Q2" s="435"/>
      <c r="R2" s="435"/>
      <c r="S2" s="435"/>
      <c r="T2" s="435"/>
      <c r="U2" s="435"/>
      <c r="V2" s="435"/>
      <c r="W2" s="435"/>
      <c r="X2" s="435"/>
      <c r="Y2" s="435"/>
      <c r="Z2" s="435"/>
      <c r="AA2" s="435"/>
      <c r="AB2" s="435"/>
    </row>
    <row r="3" spans="2:28" ht="15">
      <c r="B3" s="431"/>
      <c r="C3" s="431"/>
      <c r="D3" s="431"/>
      <c r="E3" s="431"/>
      <c r="F3" s="431"/>
      <c r="G3" s="431"/>
      <c r="H3" s="339"/>
      <c r="M3" s="435" t="s">
        <v>189</v>
      </c>
      <c r="N3" s="435"/>
      <c r="O3" s="435"/>
      <c r="P3" s="435"/>
      <c r="Q3" s="435"/>
      <c r="R3" s="435"/>
      <c r="S3" s="435"/>
      <c r="T3" s="435"/>
      <c r="U3" s="435"/>
      <c r="V3" s="435"/>
      <c r="W3" s="435"/>
      <c r="X3" s="435"/>
      <c r="Y3" s="435"/>
      <c r="Z3" s="435"/>
      <c r="AA3" s="435"/>
      <c r="AB3" s="435"/>
    </row>
    <row r="4" spans="2:28" ht="15">
      <c r="B4" s="336" t="s">
        <v>281</v>
      </c>
      <c r="C4" s="348" t="s">
        <v>282</v>
      </c>
      <c r="D4" s="347"/>
      <c r="E4" s="347"/>
      <c r="F4" s="347"/>
      <c r="G4" s="347"/>
      <c r="H4" s="339"/>
      <c r="M4" s="435" t="s">
        <v>190</v>
      </c>
      <c r="N4" s="435"/>
      <c r="O4" s="435"/>
      <c r="P4" s="435"/>
      <c r="Q4" s="435"/>
      <c r="R4" s="435"/>
      <c r="S4" s="435"/>
      <c r="T4" s="435"/>
      <c r="U4" s="435"/>
      <c r="V4" s="435"/>
      <c r="W4" s="435"/>
      <c r="X4" s="435"/>
      <c r="Y4" s="435"/>
      <c r="Z4" s="435"/>
      <c r="AA4" s="435"/>
      <c r="AB4" s="435"/>
    </row>
    <row r="5" spans="2:28" ht="15" customHeight="1">
      <c r="B5" s="336" t="s">
        <v>283</v>
      </c>
      <c r="C5" s="348" t="s">
        <v>284</v>
      </c>
      <c r="D5" s="347"/>
      <c r="E5" s="347"/>
      <c r="F5" s="347"/>
      <c r="G5" s="347"/>
      <c r="H5" s="339"/>
      <c r="M5" s="340" t="s">
        <v>191</v>
      </c>
      <c r="N5" s="340"/>
      <c r="O5" s="340"/>
      <c r="P5" s="340" t="s">
        <v>192</v>
      </c>
      <c r="Q5" s="341" t="s">
        <v>193</v>
      </c>
      <c r="R5" s="340"/>
      <c r="S5" s="340"/>
      <c r="T5" s="340"/>
      <c r="U5" s="340"/>
      <c r="V5" s="340"/>
      <c r="W5" s="340"/>
      <c r="X5" s="340"/>
      <c r="Y5" s="340"/>
      <c r="Z5" s="340"/>
      <c r="AA5" s="340"/>
      <c r="AB5" s="340"/>
    </row>
    <row r="6" spans="2:28" ht="15">
      <c r="B6" s="336" t="s">
        <v>285</v>
      </c>
      <c r="C6" s="348" t="s">
        <v>286</v>
      </c>
      <c r="D6" s="347"/>
      <c r="E6" s="347"/>
      <c r="F6" s="347"/>
      <c r="G6" s="347"/>
      <c r="H6" s="339"/>
    </row>
    <row r="7" spans="2:28" ht="15">
      <c r="B7" s="336" t="s">
        <v>287</v>
      </c>
      <c r="C7" s="348" t="s">
        <v>288</v>
      </c>
      <c r="D7" s="347"/>
      <c r="E7" s="347"/>
      <c r="F7" s="347"/>
      <c r="G7" s="347"/>
      <c r="H7" s="339"/>
    </row>
    <row r="8" spans="2:28" ht="15">
      <c r="B8" s="336" t="s">
        <v>289</v>
      </c>
      <c r="C8" s="348" t="s">
        <v>290</v>
      </c>
      <c r="D8" s="347"/>
      <c r="E8" s="347"/>
      <c r="F8" s="347"/>
      <c r="G8" s="347"/>
      <c r="H8" s="339"/>
    </row>
    <row r="9" spans="2:28" ht="15">
      <c r="B9" s="336" t="s">
        <v>291</v>
      </c>
      <c r="C9" s="348" t="s">
        <v>101</v>
      </c>
      <c r="D9" s="347"/>
      <c r="E9" s="347"/>
      <c r="F9" s="347"/>
      <c r="G9" s="347"/>
      <c r="H9" s="339"/>
    </row>
    <row r="10" spans="2:28" ht="15">
      <c r="B10" s="336" t="s">
        <v>292</v>
      </c>
      <c r="C10" s="348" t="s">
        <v>290</v>
      </c>
      <c r="D10" s="347"/>
      <c r="E10" s="347"/>
      <c r="F10" s="347"/>
      <c r="G10" s="347"/>
      <c r="H10" s="339"/>
    </row>
    <row r="11" spans="2:28" ht="15">
      <c r="B11" s="336" t="s">
        <v>293</v>
      </c>
      <c r="C11" s="348" t="s">
        <v>294</v>
      </c>
      <c r="D11" s="347"/>
      <c r="E11" s="347"/>
      <c r="F11" s="347"/>
      <c r="G11" s="347"/>
      <c r="H11" s="339"/>
    </row>
    <row r="12" spans="2:28" ht="15">
      <c r="B12" s="336" t="s">
        <v>295</v>
      </c>
      <c r="C12" s="348" t="s">
        <v>296</v>
      </c>
      <c r="D12" s="347"/>
      <c r="E12" s="347"/>
      <c r="F12" s="347"/>
      <c r="G12" s="347"/>
      <c r="H12" s="339"/>
    </row>
    <row r="13" spans="2:28" ht="15">
      <c r="B13" s="336" t="s">
        <v>297</v>
      </c>
      <c r="C13" s="348" t="s">
        <v>298</v>
      </c>
      <c r="D13" s="347"/>
      <c r="E13" s="347"/>
      <c r="F13" s="347"/>
      <c r="G13" s="347"/>
      <c r="H13" s="339"/>
    </row>
    <row r="14" spans="2:28" ht="15.75" thickBot="1">
      <c r="B14" s="336" t="s">
        <v>299</v>
      </c>
      <c r="C14" s="342" t="s">
        <v>278</v>
      </c>
      <c r="D14" s="339"/>
      <c r="E14" s="339"/>
      <c r="F14" s="339"/>
      <c r="G14" s="339"/>
      <c r="H14" s="339"/>
    </row>
    <row r="15" spans="2:28" ht="15.75" customHeight="1" thickBot="1">
      <c r="B15" s="343"/>
      <c r="C15" s="339"/>
      <c r="D15" s="339"/>
      <c r="E15" s="339"/>
      <c r="F15" s="339"/>
      <c r="G15" s="339"/>
      <c r="H15" s="339"/>
      <c r="I15" s="339"/>
      <c r="M15" s="432" t="s">
        <v>273</v>
      </c>
      <c r="N15" s="433"/>
      <c r="O15"/>
      <c r="P15"/>
      <c r="R15" s="340"/>
      <c r="S15" s="340"/>
      <c r="T15" s="340"/>
      <c r="U15" s="340"/>
      <c r="V15" s="340"/>
      <c r="W15" s="340"/>
      <c r="X15" s="340"/>
      <c r="Y15" s="340"/>
      <c r="Z15" s="340"/>
      <c r="AA15" s="340"/>
      <c r="AB15" s="340"/>
    </row>
    <row r="16" spans="2:28" s="354" customFormat="1" ht="15.75" thickBot="1">
      <c r="B16" s="335" t="s">
        <v>4</v>
      </c>
      <c r="C16" s="335" t="s">
        <v>178</v>
      </c>
      <c r="D16" s="335" t="s">
        <v>179</v>
      </c>
      <c r="E16" s="335" t="s">
        <v>180</v>
      </c>
      <c r="F16" s="335" t="s">
        <v>181</v>
      </c>
      <c r="G16" s="335" t="s">
        <v>182</v>
      </c>
      <c r="H16" s="355" t="s">
        <v>17</v>
      </c>
      <c r="I16" s="356"/>
      <c r="M16" s="344" t="s">
        <v>194</v>
      </c>
      <c r="N16" s="345">
        <v>81.891000000000005</v>
      </c>
      <c r="O16"/>
      <c r="P16"/>
    </row>
    <row r="17" spans="2:16" ht="16.5" thickTop="1" thickBot="1">
      <c r="B17" s="336">
        <v>2001</v>
      </c>
      <c r="C17" s="337">
        <v>87</v>
      </c>
      <c r="D17" s="337">
        <v>88.1</v>
      </c>
      <c r="E17" s="337">
        <v>88.3</v>
      </c>
      <c r="F17" s="337">
        <v>89.1</v>
      </c>
      <c r="G17" s="349">
        <f>AVERAGE(C17:F17)</f>
        <v>88.125</v>
      </c>
      <c r="H17" s="339"/>
      <c r="I17" s="339"/>
      <c r="M17" s="344" t="s">
        <v>195</v>
      </c>
      <c r="N17" s="345">
        <v>83.766000000000005</v>
      </c>
      <c r="O17"/>
      <c r="P17"/>
    </row>
    <row r="18" spans="2:16" ht="15.75" thickBot="1">
      <c r="B18" s="336">
        <v>2002</v>
      </c>
      <c r="C18" s="337">
        <v>89.8</v>
      </c>
      <c r="D18" s="337">
        <v>91.4</v>
      </c>
      <c r="E18" s="337">
        <v>91.8</v>
      </c>
      <c r="F18" s="337">
        <v>92.2</v>
      </c>
      <c r="G18" s="349">
        <f t="shared" ref="G18:G31" si="0">AVERAGE(C18:F18)</f>
        <v>91.3</v>
      </c>
      <c r="H18" s="351">
        <f>LN(G18/G17)</f>
        <v>3.5394526468489958E-2</v>
      </c>
      <c r="I18" s="339"/>
      <c r="M18" s="344" t="s">
        <v>196</v>
      </c>
      <c r="N18" s="345">
        <v>85.054000000000002</v>
      </c>
      <c r="O18"/>
      <c r="P18"/>
    </row>
    <row r="19" spans="2:16" ht="15.75" thickBot="1">
      <c r="B19" s="336">
        <v>2003</v>
      </c>
      <c r="C19" s="337">
        <v>93</v>
      </c>
      <c r="D19" s="337">
        <v>93.6</v>
      </c>
      <c r="E19" s="337">
        <v>94</v>
      </c>
      <c r="F19" s="337">
        <v>94.5</v>
      </c>
      <c r="G19" s="349">
        <f t="shared" si="0"/>
        <v>93.775000000000006</v>
      </c>
      <c r="H19" s="351">
        <f t="shared" ref="H19:H28" si="1">LN(G19/G18)</f>
        <v>2.6747508367028359E-2</v>
      </c>
      <c r="I19" s="339"/>
      <c r="M19" s="344" t="s">
        <v>197</v>
      </c>
      <c r="N19" s="345">
        <v>86.754000000000005</v>
      </c>
      <c r="O19"/>
      <c r="P19"/>
    </row>
    <row r="20" spans="2:16" ht="15.75" thickBot="1">
      <c r="B20" s="336">
        <v>2004</v>
      </c>
      <c r="C20" s="337">
        <v>95.4</v>
      </c>
      <c r="D20" s="337">
        <v>96.6</v>
      </c>
      <c r="E20" s="337">
        <v>97.1</v>
      </c>
      <c r="F20" s="337">
        <v>97.4</v>
      </c>
      <c r="G20" s="349">
        <f t="shared" si="0"/>
        <v>96.625</v>
      </c>
      <c r="H20" s="351">
        <f t="shared" si="1"/>
        <v>2.9939210939635016E-2</v>
      </c>
      <c r="I20" s="339"/>
      <c r="M20" s="344" t="s">
        <v>198</v>
      </c>
      <c r="N20" s="345">
        <v>89.132000000000005</v>
      </c>
      <c r="O20"/>
      <c r="P20"/>
    </row>
    <row r="21" spans="2:16" ht="15.75" thickBot="1">
      <c r="B21" s="336">
        <v>2005</v>
      </c>
      <c r="C21" s="337">
        <v>98.4</v>
      </c>
      <c r="D21" s="337">
        <v>99.2</v>
      </c>
      <c r="E21" s="337">
        <v>99.5</v>
      </c>
      <c r="F21" s="337">
        <v>100</v>
      </c>
      <c r="G21" s="349">
        <f t="shared" si="0"/>
        <v>99.275000000000006</v>
      </c>
      <c r="H21" s="351">
        <f t="shared" si="1"/>
        <v>2.7056270109729181E-2</v>
      </c>
      <c r="I21" s="339"/>
      <c r="M21" s="344" t="s">
        <v>199</v>
      </c>
      <c r="N21" s="345">
        <v>91.991</v>
      </c>
      <c r="O21"/>
      <c r="P21"/>
    </row>
    <row r="22" spans="2:16" ht="15.75" thickBot="1">
      <c r="B22" s="336">
        <v>2006</v>
      </c>
      <c r="C22" s="337">
        <v>100.8</v>
      </c>
      <c r="D22" s="337">
        <v>102.1</v>
      </c>
      <c r="E22" s="337">
        <v>103</v>
      </c>
      <c r="F22" s="337">
        <v>103.5</v>
      </c>
      <c r="G22" s="349">
        <f t="shared" si="0"/>
        <v>102.35</v>
      </c>
      <c r="H22" s="351">
        <f t="shared" si="1"/>
        <v>3.0504535089983187E-2</v>
      </c>
      <c r="I22" s="339"/>
      <c r="M22" s="344" t="s">
        <v>200</v>
      </c>
      <c r="N22" s="345">
        <v>94.817999999999998</v>
      </c>
      <c r="O22"/>
      <c r="P22"/>
    </row>
    <row r="23" spans="2:16" ht="15.75" thickBot="1">
      <c r="B23" s="336">
        <v>2007</v>
      </c>
      <c r="C23" s="337">
        <v>104.3</v>
      </c>
      <c r="D23" s="337">
        <v>105.5</v>
      </c>
      <c r="E23" s="337">
        <v>106.1</v>
      </c>
      <c r="F23" s="337">
        <v>106.8</v>
      </c>
      <c r="G23" s="349">
        <f t="shared" si="0"/>
        <v>105.675</v>
      </c>
      <c r="H23" s="351">
        <f t="shared" si="1"/>
        <v>3.1970034345555003E-2</v>
      </c>
      <c r="I23" s="339"/>
      <c r="M23" s="344" t="s">
        <v>201</v>
      </c>
      <c r="N23" s="345">
        <v>97.334999999999994</v>
      </c>
      <c r="O23"/>
      <c r="P23"/>
    </row>
    <row r="24" spans="2:16" ht="15.75" thickBot="1">
      <c r="B24" s="336">
        <v>2008</v>
      </c>
      <c r="C24" s="337">
        <v>108</v>
      </c>
      <c r="D24" s="337">
        <v>109.3</v>
      </c>
      <c r="E24" s="337">
        <v>109.3</v>
      </c>
      <c r="F24" s="337">
        <v>109.6</v>
      </c>
      <c r="G24" s="349">
        <f t="shared" si="0"/>
        <v>109.05000000000001</v>
      </c>
      <c r="H24" s="351">
        <f t="shared" si="1"/>
        <v>3.1438146194784536E-2</v>
      </c>
      <c r="I24" s="339"/>
      <c r="M24" s="344" t="s">
        <v>202</v>
      </c>
      <c r="N24" s="345">
        <v>99.236000000000004</v>
      </c>
      <c r="O24"/>
      <c r="P24"/>
    </row>
    <row r="25" spans="2:16" ht="15.75" thickBot="1">
      <c r="B25" s="336">
        <v>2009</v>
      </c>
      <c r="C25" s="337">
        <v>111</v>
      </c>
      <c r="D25" s="337">
        <v>112</v>
      </c>
      <c r="E25" s="337">
        <v>112.2</v>
      </c>
      <c r="F25" s="337">
        <v>113.3</v>
      </c>
      <c r="G25" s="349">
        <f t="shared" si="0"/>
        <v>112.125</v>
      </c>
      <c r="H25" s="351">
        <f t="shared" si="1"/>
        <v>2.7807827731321969E-2</v>
      </c>
      <c r="I25" s="339"/>
      <c r="M25" s="344" t="s">
        <v>203</v>
      </c>
      <c r="N25" s="345">
        <v>100</v>
      </c>
      <c r="O25"/>
      <c r="P25"/>
    </row>
    <row r="26" spans="2:16" ht="15.75" thickBot="1">
      <c r="B26" s="336">
        <v>2010</v>
      </c>
      <c r="C26" s="337">
        <v>113.9</v>
      </c>
      <c r="D26" s="337">
        <v>114.7</v>
      </c>
      <c r="E26" s="337">
        <v>115.4</v>
      </c>
      <c r="F26" s="337">
        <v>115.6</v>
      </c>
      <c r="G26" s="349">
        <f t="shared" si="0"/>
        <v>114.9</v>
      </c>
      <c r="H26" s="351">
        <f t="shared" si="1"/>
        <v>2.4447864475749835E-2</v>
      </c>
      <c r="I26" s="339"/>
      <c r="M26" s="344" t="s">
        <v>204</v>
      </c>
      <c r="N26" s="345">
        <v>101.211</v>
      </c>
      <c r="O26"/>
      <c r="P26"/>
    </row>
    <row r="27" spans="2:16" ht="15.75" thickBot="1">
      <c r="B27" s="336">
        <v>2011</v>
      </c>
      <c r="C27" s="337">
        <v>116.9</v>
      </c>
      <c r="D27" s="337">
        <v>118.1</v>
      </c>
      <c r="E27" s="337">
        <v>118.5</v>
      </c>
      <c r="F27" s="337">
        <v>118.8</v>
      </c>
      <c r="G27" s="349">
        <f t="shared" si="0"/>
        <v>118.075</v>
      </c>
      <c r="H27" s="351">
        <f t="shared" si="1"/>
        <v>2.725783092747083E-2</v>
      </c>
      <c r="I27" s="339"/>
      <c r="M27" s="344" t="s">
        <v>205</v>
      </c>
      <c r="N27" s="345">
        <v>103.199</v>
      </c>
      <c r="O27"/>
      <c r="P27"/>
    </row>
    <row r="28" spans="2:16" ht="15.75" thickBot="1">
      <c r="B28" s="336">
        <v>2012</v>
      </c>
      <c r="C28" s="337">
        <v>119.6</v>
      </c>
      <c r="D28" s="337">
        <v>121.3</v>
      </c>
      <c r="E28" s="337">
        <v>121.3</v>
      </c>
      <c r="F28" s="337">
        <v>121.7</v>
      </c>
      <c r="G28" s="349">
        <f t="shared" si="0"/>
        <v>120.97499999999999</v>
      </c>
      <c r="H28" s="351">
        <f t="shared" si="1"/>
        <v>2.4263896897201379E-2</v>
      </c>
      <c r="I28" s="339"/>
      <c r="M28" s="344" t="s">
        <v>206</v>
      </c>
      <c r="N28" s="345">
        <v>105.002</v>
      </c>
      <c r="O28"/>
      <c r="P28"/>
    </row>
    <row r="29" spans="2:16" ht="15.75" thickBot="1">
      <c r="B29" s="336">
        <v>2013</v>
      </c>
      <c r="C29" s="337">
        <v>123</v>
      </c>
      <c r="D29" s="337">
        <v>124.2</v>
      </c>
      <c r="E29" s="337">
        <v>124.9</v>
      </c>
      <c r="F29" s="337">
        <v>125.2</v>
      </c>
      <c r="G29" s="349">
        <f t="shared" si="0"/>
        <v>124.325</v>
      </c>
      <c r="H29" s="351">
        <f>LN(G29/G28)</f>
        <v>2.7315191921419985E-2</v>
      </c>
      <c r="I29" s="339"/>
      <c r="M29" s="344" t="s">
        <v>207</v>
      </c>
      <c r="N29" s="345">
        <v>106.58799999999999</v>
      </c>
      <c r="O29"/>
      <c r="P29"/>
    </row>
    <row r="30" spans="2:16" ht="15.75" thickBot="1">
      <c r="B30" s="336">
        <v>2014</v>
      </c>
      <c r="C30" s="337">
        <v>126.6</v>
      </c>
      <c r="D30" s="337">
        <v>127.6</v>
      </c>
      <c r="E30" s="337">
        <v>128.30000000000001</v>
      </c>
      <c r="F30" s="337">
        <v>128.30000000000001</v>
      </c>
      <c r="G30" s="349">
        <f t="shared" si="0"/>
        <v>127.7</v>
      </c>
      <c r="H30" s="351">
        <f>LN(G30/G29)</f>
        <v>2.6784658437691435E-2</v>
      </c>
      <c r="I30" s="346"/>
      <c r="M30" s="344" t="s">
        <v>277</v>
      </c>
      <c r="N30" s="370">
        <v>108.68600000000001</v>
      </c>
      <c r="O30"/>
      <c r="P30"/>
    </row>
    <row r="31" spans="2:16" ht="15">
      <c r="B31" s="336">
        <v>2015</v>
      </c>
      <c r="C31" s="337">
        <v>129.9</v>
      </c>
      <c r="D31" s="337">
        <v>130.80000000000001</v>
      </c>
      <c r="E31" s="337">
        <v>131.4</v>
      </c>
      <c r="F31" s="347"/>
      <c r="G31" s="350">
        <f t="shared" si="0"/>
        <v>130.70000000000002</v>
      </c>
      <c r="H31" s="352"/>
    </row>
    <row r="32" spans="2:16" ht="15">
      <c r="H32" s="353">
        <f>AVERAGE(H18:H30)</f>
        <v>2.8532884762004666E-2</v>
      </c>
    </row>
  </sheetData>
  <mergeCells count="8">
    <mergeCell ref="B1:G1"/>
    <mergeCell ref="B2:G2"/>
    <mergeCell ref="B3:G3"/>
    <mergeCell ref="M15:N15"/>
    <mergeCell ref="M1:AB1"/>
    <mergeCell ref="M2:AB2"/>
    <mergeCell ref="M3:AB3"/>
    <mergeCell ref="M4:AB4"/>
  </mergeCells>
  <hyperlinks>
    <hyperlink ref="Q5" r:id="rId1" location="reqid=9&amp;step=3&amp;isuri=1&amp;910=x&amp;911=0&amp;903=13&amp;904=2000&amp;905=2013&amp;906=a"/>
    <hyperlink ref="C14" r:id="rId2"/>
  </hyperlinks>
  <pageMargins left="0.7" right="0.7" top="0.75" bottom="0.75" header="0.3" footer="0.3"/>
  <pageSetup orientation="portrait" r:id="rId3"/>
  <headerFooter>
    <oddHeader>&amp;CFiled: 2016-10-26, EB-2016-0152
Exhibit L, Tab 11.1, Schedule 1 Staff-246
Attachment 2</oddHeader>
  </headerFooter>
  <ignoredErrors>
    <ignoredError sqref="M16:M3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J17"/>
  <sheetViews>
    <sheetView zoomScale="90" zoomScaleNormal="90" workbookViewId="0">
      <selection activeCell="C14" sqref="C14"/>
    </sheetView>
  </sheetViews>
  <sheetFormatPr defaultRowHeight="12.75"/>
  <cols>
    <col min="2" max="2" width="26" bestFit="1" customWidth="1"/>
    <col min="3" max="3" width="17.28515625" customWidth="1"/>
    <col min="4" max="4" width="29.42578125" bestFit="1" customWidth="1"/>
    <col min="5" max="5" width="17.28515625" customWidth="1"/>
    <col min="6" max="6" width="28.7109375" bestFit="1" customWidth="1"/>
    <col min="7" max="7" width="17.28515625" customWidth="1"/>
    <col min="8" max="8" width="19.5703125" customWidth="1"/>
    <col min="10" max="10" width="11.42578125" hidden="1" customWidth="1"/>
    <col min="11" max="12" width="0" hidden="1" customWidth="1"/>
    <col min="16" max="16" width="12" bestFit="1" customWidth="1"/>
    <col min="17" max="17" width="21.140625" bestFit="1" customWidth="1"/>
  </cols>
  <sheetData>
    <row r="4" spans="2:8" ht="13.5" thickBot="1"/>
    <row r="5" spans="2:8" ht="18">
      <c r="B5" s="424" t="s">
        <v>219</v>
      </c>
      <c r="C5" s="425"/>
      <c r="D5" s="425"/>
      <c r="E5" s="425"/>
      <c r="F5" s="425"/>
      <c r="G5" s="425"/>
      <c r="H5" s="426"/>
    </row>
    <row r="6" spans="2:8" ht="60">
      <c r="B6" s="113" t="s">
        <v>217</v>
      </c>
      <c r="C6" s="113" t="s">
        <v>113</v>
      </c>
      <c r="D6" s="113" t="s">
        <v>218</v>
      </c>
      <c r="E6" s="113" t="s">
        <v>113</v>
      </c>
      <c r="F6" s="113"/>
      <c r="G6" s="113"/>
      <c r="H6" s="114" t="s">
        <v>114</v>
      </c>
    </row>
    <row r="7" spans="2:8" ht="30">
      <c r="B7" s="115" t="s">
        <v>115</v>
      </c>
      <c r="C7" s="116">
        <v>-1.1649578334587175E-2</v>
      </c>
      <c r="D7" s="117" t="s">
        <v>115</v>
      </c>
      <c r="E7" s="116">
        <v>-1.1327538323901386E-2</v>
      </c>
      <c r="F7" s="117"/>
      <c r="G7" s="116"/>
      <c r="H7" s="118">
        <f>AVERAGE(C7,E7,G7)</f>
        <v>-1.1488558329244281E-2</v>
      </c>
    </row>
    <row r="8" spans="2:8" ht="75">
      <c r="B8" s="115" t="s">
        <v>117</v>
      </c>
      <c r="C8" s="116">
        <v>-2.4843796769825621E-3</v>
      </c>
      <c r="D8" s="117" t="s">
        <v>117</v>
      </c>
      <c r="E8" s="116"/>
      <c r="F8" s="117"/>
      <c r="G8" s="116"/>
      <c r="H8" s="118">
        <f>AVERAGE(C8,E8,G8)</f>
        <v>-2.4843796769825621E-3</v>
      </c>
    </row>
    <row r="9" spans="2:8" ht="75">
      <c r="B9" s="115" t="s">
        <v>118</v>
      </c>
      <c r="C9" s="116">
        <v>7.2873167501873891E-3</v>
      </c>
      <c r="D9" s="117" t="s">
        <v>118</v>
      </c>
      <c r="E9" s="116"/>
      <c r="F9" s="117"/>
      <c r="G9" s="116"/>
      <c r="H9" s="118">
        <f>AVERAGE(C9,E9,G9)</f>
        <v>7.2873167501873891E-3</v>
      </c>
    </row>
    <row r="10" spans="2:8" ht="75">
      <c r="B10" s="115" t="s">
        <v>119</v>
      </c>
      <c r="C10" s="116">
        <v>1.8038200416780746E-2</v>
      </c>
      <c r="D10" s="117" t="s">
        <v>119</v>
      </c>
      <c r="E10" s="116"/>
      <c r="F10" s="117"/>
      <c r="G10" s="116"/>
      <c r="H10" s="118">
        <f>AVERAGE(C10,E10,G10)</f>
        <v>1.8038200416780746E-2</v>
      </c>
    </row>
    <row r="11" spans="2:8" ht="60">
      <c r="B11" s="115" t="s">
        <v>120</v>
      </c>
      <c r="C11" s="116">
        <v>3.028311714284828E-2</v>
      </c>
      <c r="D11" s="117" t="s">
        <v>120</v>
      </c>
      <c r="E11" s="116"/>
      <c r="F11" s="117"/>
      <c r="G11" s="116"/>
      <c r="H11" s="118">
        <f>AVERAGE(C11,E11,G11)</f>
        <v>3.028311714284828E-2</v>
      </c>
    </row>
    <row r="12" spans="2:8" ht="5.25" customHeight="1">
      <c r="H12" s="119"/>
    </row>
    <row r="13" spans="2:8" ht="45.75" thickBot="1">
      <c r="B13" s="120" t="s">
        <v>116</v>
      </c>
      <c r="C13" s="121">
        <f>AVERAGE(C7:C11)</f>
        <v>8.2949352596493366E-3</v>
      </c>
      <c r="D13" s="122"/>
      <c r="E13" s="121">
        <f>AVERAGE(E7:E11)</f>
        <v>-1.1327538323901386E-2</v>
      </c>
      <c r="F13" s="122"/>
      <c r="G13" s="121" t="e">
        <f>AVERAGE(G7:G11)</f>
        <v>#DIV/0!</v>
      </c>
      <c r="H13" s="123" t="e">
        <f>AVERAGE(C13,E13,G13)</f>
        <v>#DIV/0!</v>
      </c>
    </row>
    <row r="17" ht="18" customHeight="1"/>
  </sheetData>
  <mergeCells count="1">
    <mergeCell ref="B5:H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40"/>
  <sheetViews>
    <sheetView showGridLines="0" tabSelected="1" view="pageLayout" zoomScaleNormal="70" workbookViewId="0">
      <selection activeCell="A2" sqref="A2"/>
    </sheetView>
  </sheetViews>
  <sheetFormatPr defaultRowHeight="16.5"/>
  <cols>
    <col min="1" max="1" width="2.85546875" style="193" customWidth="1"/>
    <col min="2" max="4" width="13.42578125" style="193" customWidth="1"/>
    <col min="5" max="5" width="20.42578125" style="193" customWidth="1"/>
    <col min="6" max="9" width="13.42578125" style="193" customWidth="1"/>
    <col min="10" max="10" width="15.85546875" style="193" customWidth="1"/>
    <col min="11" max="11" width="19.5703125" style="193" customWidth="1"/>
    <col min="12" max="12" width="21" style="193" customWidth="1"/>
    <col min="13" max="15" width="13.42578125" style="193" customWidth="1"/>
    <col min="16" max="16" width="3.28515625" style="193" customWidth="1"/>
    <col min="17" max="24" width="13.42578125" style="193" customWidth="1"/>
    <col min="25" max="25" width="29" style="193" customWidth="1"/>
    <col min="26" max="16384" width="9.140625" style="193"/>
  </cols>
  <sheetData>
    <row r="1" spans="2:25" ht="17.25" thickBot="1">
      <c r="Q1" s="371"/>
      <c r="R1" s="371"/>
      <c r="S1" s="371"/>
      <c r="T1" s="371"/>
      <c r="U1" s="371"/>
      <c r="V1" s="371"/>
      <c r="W1" s="371"/>
      <c r="X1" s="371"/>
      <c r="Y1" s="371"/>
    </row>
    <row r="2" spans="2:25" ht="15.75" customHeight="1">
      <c r="B2" s="405" t="s">
        <v>579</v>
      </c>
      <c r="C2" s="191"/>
      <c r="D2" s="191"/>
      <c r="E2" s="191"/>
      <c r="F2" s="191"/>
      <c r="G2" s="191"/>
      <c r="H2" s="191"/>
      <c r="I2" s="191"/>
      <c r="J2" s="191"/>
      <c r="K2" s="191"/>
      <c r="L2" s="191"/>
      <c r="M2" s="191"/>
      <c r="N2" s="191"/>
      <c r="O2" s="191"/>
      <c r="P2" s="192"/>
      <c r="Q2" s="230"/>
      <c r="R2" s="230"/>
      <c r="S2" s="230"/>
      <c r="T2" s="230"/>
      <c r="U2" s="230"/>
      <c r="V2" s="230"/>
      <c r="W2" s="230"/>
      <c r="X2" s="230"/>
      <c r="Y2" s="230"/>
    </row>
    <row r="3" spans="2:25" ht="15.75" customHeight="1">
      <c r="B3" s="194" t="s">
        <v>257</v>
      </c>
      <c r="C3" s="195"/>
      <c r="D3" s="195"/>
      <c r="E3" s="195"/>
      <c r="F3" s="195"/>
      <c r="G3" s="195"/>
      <c r="H3" s="196"/>
      <c r="I3" s="196"/>
      <c r="J3" s="196"/>
      <c r="K3" s="196"/>
      <c r="L3" s="196"/>
      <c r="M3" s="196"/>
      <c r="N3" s="196"/>
      <c r="O3" s="196"/>
      <c r="P3" s="197"/>
      <c r="Q3" s="230"/>
      <c r="R3" s="230"/>
      <c r="S3" s="230"/>
      <c r="T3" s="230"/>
      <c r="U3" s="230"/>
      <c r="V3" s="230"/>
      <c r="W3" s="230"/>
      <c r="X3" s="230"/>
      <c r="Y3" s="230"/>
    </row>
    <row r="4" spans="2:25" ht="15.75" customHeight="1">
      <c r="B4" s="198" t="s">
        <v>319</v>
      </c>
      <c r="C4" s="199"/>
      <c r="D4" s="199"/>
      <c r="E4" s="199"/>
      <c r="F4" s="199"/>
      <c r="G4" s="199"/>
      <c r="H4" s="200"/>
      <c r="I4" s="200"/>
      <c r="J4" s="200"/>
      <c r="K4" s="200"/>
      <c r="L4" s="200"/>
      <c r="M4" s="200"/>
      <c r="N4" s="200"/>
      <c r="O4" s="200"/>
      <c r="P4" s="201"/>
      <c r="Q4" s="372"/>
      <c r="R4" s="372"/>
      <c r="S4" s="372"/>
      <c r="T4" s="372"/>
      <c r="U4" s="372"/>
      <c r="V4" s="372"/>
      <c r="W4" s="372"/>
      <c r="X4" s="372"/>
      <c r="Y4" s="372"/>
    </row>
    <row r="5" spans="2:25" ht="15.75" customHeight="1">
      <c r="B5" s="198"/>
      <c r="C5" s="199" t="s">
        <v>320</v>
      </c>
      <c r="D5" s="199"/>
      <c r="E5" s="199"/>
      <c r="F5" s="199"/>
      <c r="G5" s="199"/>
      <c r="H5" s="200"/>
      <c r="I5" s="200"/>
      <c r="J5" s="200"/>
      <c r="K5" s="200"/>
      <c r="L5" s="200"/>
      <c r="M5" s="200"/>
      <c r="N5" s="200"/>
      <c r="O5" s="200"/>
      <c r="P5" s="201"/>
      <c r="Q5" s="372"/>
      <c r="R5" s="372"/>
      <c r="S5" s="372"/>
      <c r="T5" s="372"/>
      <c r="U5" s="372"/>
      <c r="V5" s="372"/>
      <c r="W5" s="372"/>
      <c r="X5" s="372"/>
      <c r="Y5" s="372"/>
    </row>
    <row r="6" spans="2:25" ht="15.75" customHeight="1">
      <c r="B6" s="198"/>
      <c r="C6" s="199" t="s">
        <v>321</v>
      </c>
      <c r="D6" s="199"/>
      <c r="E6" s="199"/>
      <c r="F6" s="199"/>
      <c r="G6" s="199"/>
      <c r="H6" s="200"/>
      <c r="I6" s="200"/>
      <c r="J6" s="200"/>
      <c r="K6" s="200"/>
      <c r="L6" s="200"/>
      <c r="M6" s="200"/>
      <c r="N6" s="200"/>
      <c r="O6" s="200"/>
      <c r="P6" s="201"/>
      <c r="Q6" s="372"/>
      <c r="R6" s="372"/>
      <c r="S6" s="372"/>
      <c r="T6" s="372"/>
      <c r="U6" s="372"/>
      <c r="V6" s="372"/>
      <c r="W6" s="372"/>
      <c r="X6" s="372"/>
      <c r="Y6" s="372"/>
    </row>
    <row r="7" spans="2:25" ht="15.75" customHeight="1">
      <c r="B7" s="373" t="s">
        <v>322</v>
      </c>
      <c r="C7" s="203"/>
      <c r="D7" s="203"/>
      <c r="E7" s="203"/>
      <c r="F7" s="203"/>
      <c r="G7" s="203"/>
      <c r="H7" s="204"/>
      <c r="I7" s="204"/>
      <c r="J7" s="204"/>
      <c r="K7" s="204"/>
      <c r="L7" s="204"/>
      <c r="M7" s="204"/>
      <c r="N7" s="204"/>
      <c r="O7" s="204"/>
      <c r="P7" s="205"/>
      <c r="Q7" s="372"/>
      <c r="R7" s="372"/>
      <c r="S7" s="372"/>
      <c r="T7" s="372"/>
      <c r="U7" s="372"/>
      <c r="V7" s="372"/>
      <c r="W7" s="372"/>
      <c r="X7" s="372"/>
      <c r="Y7" s="372"/>
    </row>
    <row r="8" spans="2:25" s="374" customFormat="1" ht="15.75" customHeight="1">
      <c r="B8" s="202"/>
      <c r="C8" s="203" t="s">
        <v>323</v>
      </c>
      <c r="D8" s="203"/>
      <c r="E8" s="203"/>
      <c r="F8" s="203"/>
      <c r="G8" s="203"/>
      <c r="H8" s="204"/>
      <c r="I8" s="204"/>
      <c r="J8" s="204"/>
      <c r="K8" s="204"/>
      <c r="L8" s="204"/>
      <c r="M8" s="204"/>
      <c r="N8" s="204"/>
      <c r="O8" s="204"/>
      <c r="P8" s="205"/>
      <c r="Q8" s="372"/>
      <c r="R8" s="372"/>
      <c r="S8" s="372"/>
      <c r="T8" s="372"/>
      <c r="U8" s="372"/>
      <c r="V8" s="372"/>
      <c r="W8" s="372"/>
      <c r="X8" s="372"/>
      <c r="Y8" s="372"/>
    </row>
    <row r="9" spans="2:25" s="374" customFormat="1" ht="15.75" customHeight="1">
      <c r="B9" s="202"/>
      <c r="C9" s="203" t="s">
        <v>324</v>
      </c>
      <c r="D9" s="203"/>
      <c r="E9" s="203"/>
      <c r="F9" s="203"/>
      <c r="G9" s="203"/>
      <c r="H9" s="204"/>
      <c r="I9" s="204"/>
      <c r="J9" s="204"/>
      <c r="K9" s="204"/>
      <c r="L9" s="204"/>
      <c r="M9" s="204"/>
      <c r="N9" s="204"/>
      <c r="O9" s="204"/>
      <c r="P9" s="205"/>
      <c r="Q9" s="372"/>
      <c r="R9" s="372"/>
      <c r="S9" s="372"/>
      <c r="T9" s="372"/>
      <c r="U9" s="372"/>
      <c r="V9" s="372"/>
      <c r="W9" s="372"/>
      <c r="X9" s="372"/>
      <c r="Y9" s="372"/>
    </row>
    <row r="10" spans="2:25" ht="15.75" customHeight="1">
      <c r="B10" s="206" t="s">
        <v>306</v>
      </c>
      <c r="C10" s="207"/>
      <c r="D10" s="207"/>
      <c r="E10" s="207"/>
      <c r="F10" s="207"/>
      <c r="G10" s="207"/>
      <c r="H10" s="208"/>
      <c r="I10" s="208"/>
      <c r="J10" s="208"/>
      <c r="K10" s="208"/>
      <c r="L10" s="208"/>
      <c r="M10" s="208"/>
      <c r="N10" s="208"/>
      <c r="O10" s="208"/>
      <c r="P10" s="209"/>
      <c r="Q10" s="230"/>
      <c r="R10" s="230"/>
      <c r="S10" s="230"/>
      <c r="T10" s="230"/>
      <c r="U10" s="230"/>
      <c r="V10" s="230"/>
      <c r="W10" s="230"/>
      <c r="X10" s="230"/>
      <c r="Y10" s="230"/>
    </row>
    <row r="11" spans="2:25" ht="15.75" customHeight="1">
      <c r="B11" s="210"/>
      <c r="C11" s="207" t="s">
        <v>258</v>
      </c>
      <c r="D11" s="207"/>
      <c r="E11" s="207"/>
      <c r="F11" s="207"/>
      <c r="G11" s="207"/>
      <c r="H11" s="208"/>
      <c r="I11" s="208"/>
      <c r="J11" s="208"/>
      <c r="K11" s="208"/>
      <c r="L11" s="208"/>
      <c r="M11" s="208"/>
      <c r="N11" s="208"/>
      <c r="O11" s="208"/>
      <c r="P11" s="209"/>
      <c r="Q11" s="230"/>
      <c r="R11" s="230"/>
      <c r="S11" s="230"/>
      <c r="T11" s="230"/>
      <c r="U11" s="230"/>
      <c r="V11" s="230"/>
      <c r="W11" s="230"/>
      <c r="X11" s="230"/>
      <c r="Y11" s="230"/>
    </row>
    <row r="12" spans="2:25" ht="15.75" customHeight="1">
      <c r="B12" s="210"/>
      <c r="C12" s="207" t="s">
        <v>259</v>
      </c>
      <c r="D12" s="207"/>
      <c r="E12" s="207"/>
      <c r="F12" s="207"/>
      <c r="G12" s="207"/>
      <c r="H12" s="208"/>
      <c r="I12" s="208"/>
      <c r="J12" s="208"/>
      <c r="K12" s="208"/>
      <c r="L12" s="208"/>
      <c r="M12" s="208"/>
      <c r="N12" s="208"/>
      <c r="O12" s="208"/>
      <c r="P12" s="209"/>
      <c r="Q12" s="230"/>
      <c r="R12" s="230"/>
      <c r="S12" s="230"/>
      <c r="T12" s="230"/>
      <c r="U12" s="230"/>
      <c r="V12" s="230"/>
      <c r="W12" s="230"/>
      <c r="X12" s="230"/>
      <c r="Y12" s="230"/>
    </row>
    <row r="13" spans="2:25" ht="15.75" customHeight="1">
      <c r="B13" s="211" t="s">
        <v>307</v>
      </c>
      <c r="C13" s="212"/>
      <c r="D13" s="212"/>
      <c r="E13" s="212"/>
      <c r="F13" s="212"/>
      <c r="G13" s="212"/>
      <c r="H13" s="212"/>
      <c r="I13" s="212"/>
      <c r="J13" s="212"/>
      <c r="K13" s="212"/>
      <c r="L13" s="212"/>
      <c r="M13" s="212"/>
      <c r="N13" s="212"/>
      <c r="O13" s="212"/>
      <c r="P13" s="213"/>
      <c r="Q13" s="375"/>
      <c r="R13" s="375"/>
      <c r="S13" s="375"/>
      <c r="T13" s="375"/>
      <c r="U13" s="375"/>
      <c r="V13" s="375"/>
      <c r="W13" s="375"/>
      <c r="X13" s="375"/>
      <c r="Y13" s="375"/>
    </row>
    <row r="14" spans="2:25" ht="15.75" customHeight="1">
      <c r="B14" s="214" t="s">
        <v>308</v>
      </c>
      <c r="C14" s="215"/>
      <c r="D14" s="215"/>
      <c r="E14" s="215"/>
      <c r="F14" s="215"/>
      <c r="G14" s="215"/>
      <c r="H14" s="216"/>
      <c r="I14" s="216"/>
      <c r="J14" s="216"/>
      <c r="K14" s="216"/>
      <c r="L14" s="216"/>
      <c r="M14" s="216"/>
      <c r="N14" s="216"/>
      <c r="O14" s="216"/>
      <c r="P14" s="217"/>
      <c r="Q14" s="230"/>
      <c r="R14" s="230"/>
      <c r="S14" s="230"/>
      <c r="T14" s="230"/>
      <c r="U14" s="230"/>
      <c r="V14" s="230"/>
      <c r="W14" s="230"/>
      <c r="X14" s="230"/>
      <c r="Y14" s="230"/>
    </row>
    <row r="15" spans="2:25" ht="15.75" customHeight="1">
      <c r="B15" s="218" t="s">
        <v>309</v>
      </c>
      <c r="C15" s="219"/>
      <c r="D15" s="219"/>
      <c r="E15" s="219"/>
      <c r="F15" s="219"/>
      <c r="G15" s="219"/>
      <c r="H15" s="220"/>
      <c r="I15" s="220"/>
      <c r="J15" s="220"/>
      <c r="K15" s="220"/>
      <c r="L15" s="220"/>
      <c r="M15" s="220"/>
      <c r="N15" s="220"/>
      <c r="O15" s="220"/>
      <c r="P15" s="221"/>
      <c r="Q15" s="230"/>
      <c r="R15" s="230"/>
      <c r="S15" s="230"/>
      <c r="T15" s="230"/>
      <c r="U15" s="230"/>
      <c r="V15" s="230"/>
      <c r="W15" s="230"/>
      <c r="X15" s="230"/>
      <c r="Y15" s="230"/>
    </row>
    <row r="16" spans="2:25" ht="15.75" customHeight="1">
      <c r="B16" s="376" t="s">
        <v>325</v>
      </c>
      <c r="C16" s="377"/>
      <c r="D16" s="377"/>
      <c r="E16" s="377"/>
      <c r="F16" s="377"/>
      <c r="G16" s="377"/>
      <c r="H16" s="377"/>
      <c r="I16" s="377"/>
      <c r="J16" s="377"/>
      <c r="K16" s="377"/>
      <c r="L16" s="377"/>
      <c r="M16" s="377"/>
      <c r="N16" s="377"/>
      <c r="O16" s="377"/>
      <c r="P16" s="378"/>
      <c r="Q16" s="375"/>
      <c r="R16" s="375"/>
      <c r="S16" s="375"/>
      <c r="T16" s="375"/>
      <c r="U16" s="375"/>
      <c r="V16" s="375"/>
      <c r="W16" s="375"/>
      <c r="X16" s="375"/>
      <c r="Y16" s="375"/>
    </row>
    <row r="17" spans="2:25" ht="15.75" customHeight="1" thickBot="1">
      <c r="B17" s="222"/>
      <c r="C17" s="223" t="s">
        <v>587</v>
      </c>
      <c r="D17" s="223"/>
      <c r="E17" s="223"/>
      <c r="F17" s="223"/>
      <c r="G17" s="223"/>
      <c r="H17" s="223"/>
      <c r="I17" s="223"/>
      <c r="J17" s="223"/>
      <c r="K17" s="223"/>
      <c r="L17" s="223"/>
      <c r="M17" s="223"/>
      <c r="N17" s="223"/>
      <c r="O17" s="223"/>
      <c r="P17" s="224"/>
      <c r="Q17" s="375"/>
      <c r="R17" s="375"/>
      <c r="S17" s="375"/>
      <c r="T17" s="375"/>
      <c r="U17" s="375"/>
      <c r="V17" s="375"/>
      <c r="W17" s="375"/>
      <c r="X17" s="375"/>
      <c r="Y17" s="375"/>
    </row>
    <row r="18" spans="2:25" ht="15.75" customHeight="1">
      <c r="C18" s="225"/>
      <c r="Q18" s="371"/>
      <c r="R18" s="371"/>
      <c r="S18" s="371"/>
      <c r="T18" s="371"/>
      <c r="U18" s="371"/>
      <c r="V18" s="371"/>
      <c r="W18" s="371"/>
      <c r="X18" s="371"/>
      <c r="Y18" s="371"/>
    </row>
    <row r="19" spans="2:25" ht="15.75" customHeight="1">
      <c r="Q19" s="371"/>
      <c r="R19" s="371"/>
      <c r="S19" s="371"/>
      <c r="T19" s="371"/>
      <c r="U19" s="371"/>
      <c r="V19" s="371"/>
      <c r="W19" s="371"/>
      <c r="X19" s="371"/>
      <c r="Y19" s="371"/>
    </row>
    <row r="20" spans="2:25" ht="15.75" customHeight="1">
      <c r="B20" s="406" t="s">
        <v>580</v>
      </c>
      <c r="Q20" s="371"/>
      <c r="R20" s="371"/>
      <c r="S20" s="371"/>
      <c r="T20" s="371"/>
      <c r="U20" s="371"/>
      <c r="V20" s="371"/>
      <c r="W20" s="371"/>
      <c r="X20" s="371"/>
      <c r="Y20" s="371"/>
    </row>
    <row r="21" spans="2:25" ht="15.75" customHeight="1">
      <c r="C21" s="230"/>
    </row>
    <row r="22" spans="2:25" ht="15.75" customHeight="1"/>
    <row r="23" spans="2:25" ht="15.75" customHeight="1"/>
    <row r="24" spans="2:25" ht="15.75" customHeight="1"/>
    <row r="25" spans="2:25" ht="15.75" customHeight="1" thickBot="1"/>
    <row r="26" spans="2:25" ht="16.5" customHeight="1">
      <c r="B26" s="226" t="s">
        <v>260</v>
      </c>
      <c r="C26" s="227"/>
      <c r="D26" s="227"/>
      <c r="E26" s="227"/>
      <c r="F26" s="227"/>
      <c r="G26" s="227"/>
      <c r="H26" s="227"/>
      <c r="I26" s="227"/>
      <c r="J26" s="227"/>
      <c r="K26" s="227"/>
      <c r="L26" s="228"/>
    </row>
    <row r="27" spans="2:25" ht="16.5" customHeight="1">
      <c r="B27" s="229" t="s">
        <v>261</v>
      </c>
      <c r="C27" s="230"/>
      <c r="D27" s="230"/>
      <c r="E27" s="230"/>
      <c r="F27" s="230"/>
      <c r="G27" s="230"/>
      <c r="H27" s="230"/>
      <c r="I27" s="230"/>
      <c r="J27" s="230"/>
      <c r="K27" s="230"/>
      <c r="L27" s="231"/>
    </row>
    <row r="28" spans="2:25" ht="16.5" customHeight="1">
      <c r="B28" s="232" t="s">
        <v>305</v>
      </c>
      <c r="C28" s="230"/>
      <c r="D28" s="230"/>
      <c r="E28" s="230"/>
      <c r="F28" s="230"/>
      <c r="G28" s="230"/>
      <c r="H28" s="230"/>
      <c r="I28" s="230"/>
      <c r="J28" s="230"/>
      <c r="K28" s="230"/>
      <c r="L28" s="231"/>
    </row>
    <row r="29" spans="2:25" ht="16.5" customHeight="1">
      <c r="B29" s="407" t="s">
        <v>581</v>
      </c>
      <c r="C29" s="230" t="s">
        <v>582</v>
      </c>
      <c r="D29" s="230"/>
      <c r="E29" s="230"/>
      <c r="F29" s="230"/>
      <c r="G29" s="230"/>
      <c r="H29" s="230"/>
      <c r="I29" s="230"/>
      <c r="J29" s="230"/>
      <c r="K29" s="230"/>
      <c r="L29" s="231"/>
    </row>
    <row r="30" spans="2:25" ht="16.5" customHeight="1">
      <c r="B30" s="229"/>
      <c r="C30" s="230" t="s">
        <v>583</v>
      </c>
      <c r="D30" s="230"/>
      <c r="E30" s="230"/>
      <c r="F30" s="230"/>
      <c r="G30" s="230"/>
      <c r="H30" s="230"/>
      <c r="I30" s="230"/>
      <c r="J30" s="230"/>
      <c r="K30" s="230"/>
      <c r="L30" s="231"/>
    </row>
    <row r="31" spans="2:25" ht="16.5" customHeight="1">
      <c r="B31" s="229"/>
      <c r="C31" s="230" t="s">
        <v>586</v>
      </c>
      <c r="D31" s="230"/>
      <c r="E31" s="230"/>
      <c r="F31" s="230"/>
      <c r="G31" s="230"/>
      <c r="H31" s="230"/>
      <c r="I31" s="230"/>
      <c r="J31" s="230"/>
      <c r="K31" s="230"/>
      <c r="L31" s="231"/>
    </row>
    <row r="32" spans="2:25" ht="16.5" customHeight="1">
      <c r="B32" s="229" t="s">
        <v>262</v>
      </c>
      <c r="C32" s="230"/>
      <c r="D32" s="230"/>
      <c r="E32" s="230"/>
      <c r="F32" s="230"/>
      <c r="G32" s="230"/>
      <c r="H32" s="230"/>
      <c r="I32" s="230"/>
      <c r="J32" s="230"/>
      <c r="K32" s="230"/>
      <c r="L32" s="231"/>
    </row>
    <row r="33" spans="2:12" ht="16.5" customHeight="1">
      <c r="B33" s="232" t="s">
        <v>318</v>
      </c>
      <c r="C33" s="230"/>
      <c r="D33" s="230"/>
      <c r="E33" s="230"/>
      <c r="F33" s="230"/>
      <c r="G33" s="230"/>
      <c r="H33" s="230"/>
      <c r="I33" s="230"/>
      <c r="J33" s="230"/>
      <c r="K33" s="230"/>
      <c r="L33" s="231"/>
    </row>
    <row r="34" spans="2:12" ht="16.5" customHeight="1">
      <c r="B34" s="229" t="s">
        <v>326</v>
      </c>
      <c r="C34" s="230"/>
      <c r="D34" s="230"/>
      <c r="E34" s="230"/>
      <c r="F34" s="230"/>
      <c r="G34" s="230"/>
      <c r="H34" s="230"/>
      <c r="I34" s="230"/>
      <c r="J34" s="230"/>
      <c r="K34" s="230"/>
      <c r="L34" s="231"/>
    </row>
    <row r="35" spans="2:12" ht="16.5" customHeight="1">
      <c r="B35" s="229" t="s">
        <v>317</v>
      </c>
      <c r="C35" s="230"/>
      <c r="D35" s="230"/>
      <c r="E35" s="230"/>
      <c r="F35" s="230"/>
      <c r="G35" s="230"/>
      <c r="H35" s="230"/>
      <c r="I35" s="230"/>
      <c r="J35" s="230"/>
      <c r="K35" s="230"/>
      <c r="L35" s="231"/>
    </row>
    <row r="36" spans="2:12" ht="16.5" customHeight="1">
      <c r="B36" s="229" t="s">
        <v>263</v>
      </c>
      <c r="C36" s="230"/>
      <c r="D36" s="230"/>
      <c r="E36" s="230"/>
      <c r="F36" s="230"/>
      <c r="G36" s="230"/>
      <c r="H36" s="230"/>
      <c r="I36" s="230"/>
      <c r="J36" s="230"/>
      <c r="K36" s="230"/>
      <c r="L36" s="231"/>
    </row>
    <row r="37" spans="2:12" ht="16.5" customHeight="1">
      <c r="B37" s="229" t="s">
        <v>316</v>
      </c>
      <c r="C37" s="230"/>
      <c r="D37" s="230"/>
      <c r="E37" s="230"/>
      <c r="F37" s="230"/>
      <c r="G37" s="230"/>
      <c r="H37" s="230"/>
      <c r="I37" s="230"/>
      <c r="J37" s="230"/>
      <c r="K37" s="230"/>
      <c r="L37" s="231"/>
    </row>
    <row r="38" spans="2:12" ht="17.25" thickBot="1">
      <c r="B38" s="233" t="s">
        <v>315</v>
      </c>
      <c r="C38" s="234"/>
      <c r="D38" s="234"/>
      <c r="E38" s="234"/>
      <c r="F38" s="234"/>
      <c r="G38" s="234"/>
      <c r="H38" s="234"/>
      <c r="I38" s="234"/>
      <c r="J38" s="234"/>
      <c r="K38" s="234"/>
      <c r="L38" s="235"/>
    </row>
    <row r="40" spans="2:12">
      <c r="B40" s="408"/>
      <c r="C40" s="230"/>
    </row>
  </sheetData>
  <pageMargins left="0.7" right="0.7" top="0.75" bottom="0.75" header="0.3" footer="0.3"/>
  <pageSetup orientation="landscape" r:id="rId1"/>
  <headerFooter>
    <oddHeader>&amp;CFiled: 2016-10-26, EB-2016-0152
Exhibit L, Tab 11.1, Schedule 1 Staff-246
Attachment 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outlinePr summaryBelow="0" summaryRight="0"/>
  </sheetPr>
  <dimension ref="A1:X129"/>
  <sheetViews>
    <sheetView showGridLines="0" tabSelected="1" view="pageLayout" zoomScaleNormal="85" workbookViewId="0">
      <selection activeCell="A2" sqref="A2"/>
    </sheetView>
  </sheetViews>
  <sheetFormatPr defaultRowHeight="13.5"/>
  <cols>
    <col min="1" max="1" width="2.85546875" style="150" customWidth="1"/>
    <col min="2" max="3" width="20.7109375" style="1" customWidth="1"/>
    <col min="4" max="4" width="29.7109375" style="1" customWidth="1"/>
    <col min="5" max="5" width="20.7109375" style="1" customWidth="1"/>
    <col min="6" max="6" width="29.7109375" style="1" customWidth="1"/>
    <col min="7" max="8" width="20.7109375" style="1" customWidth="1"/>
    <col min="9" max="9" width="29.7109375" style="1" customWidth="1"/>
    <col min="10" max="11" width="20.7109375" style="1" customWidth="1"/>
    <col min="12" max="17" width="20.7109375" style="245" customWidth="1"/>
    <col min="18" max="18" width="22" style="245" bestFit="1" customWidth="1"/>
    <col min="19" max="19" width="9.140625" style="245"/>
    <col min="20" max="20" width="12.5703125" style="245" bestFit="1" customWidth="1"/>
    <col min="21" max="21" width="16" style="245" bestFit="1" customWidth="1"/>
    <col min="22" max="24" width="9.140625" style="245"/>
    <col min="25" max="16384" width="9.140625" style="150"/>
  </cols>
  <sheetData>
    <row r="1" spans="1:24" ht="15">
      <c r="A1" s="358"/>
      <c r="B1" s="243" t="s">
        <v>264</v>
      </c>
      <c r="C1" s="242"/>
      <c r="D1" s="242"/>
      <c r="E1" s="242"/>
      <c r="F1" s="242"/>
      <c r="G1" s="242"/>
      <c r="H1" s="242"/>
      <c r="I1" s="242"/>
      <c r="J1" s="242"/>
      <c r="K1" s="244"/>
    </row>
    <row r="2" spans="1:24" s="359" customFormat="1" ht="15">
      <c r="B2" s="106" t="s">
        <v>106</v>
      </c>
      <c r="C2" s="106" t="s">
        <v>150</v>
      </c>
      <c r="D2" s="106" t="str">
        <f>VLOOKUP($C$2,'OPG hydro peers'!$D$4:$E$23,2,0)</f>
        <v>OPG Hydro Peer Industry Total</v>
      </c>
      <c r="E2" s="106" t="str">
        <f>VLOOKUP($C$2,'OPG hydro peers'!$D$4:$F$23,3,0)</f>
        <v>NA</v>
      </c>
      <c r="F2" s="179" t="s">
        <v>302</v>
      </c>
      <c r="G2" s="180">
        <f>I112</f>
        <v>-1.1241111622993504E-2</v>
      </c>
      <c r="H2" s="106"/>
      <c r="I2" s="87" t="str">
        <f>D115</f>
        <v>TFP trend growth rate (2002-2014):</v>
      </c>
      <c r="J2" s="187">
        <f>D117</f>
        <v>-1.4097732192118186E-2</v>
      </c>
      <c r="K2" s="106"/>
      <c r="L2" s="246"/>
      <c r="M2" s="246"/>
      <c r="N2" s="246"/>
      <c r="O2" s="246"/>
      <c r="P2" s="246"/>
      <c r="Q2" s="246"/>
      <c r="R2" s="246"/>
      <c r="S2" s="246"/>
      <c r="T2" s="246"/>
      <c r="U2" s="246"/>
      <c r="V2" s="246"/>
      <c r="W2" s="246"/>
      <c r="X2" s="246"/>
    </row>
    <row r="4" spans="1:24" s="358" customFormat="1" ht="15">
      <c r="B4" s="250" t="s">
        <v>265</v>
      </c>
      <c r="C4" s="249"/>
      <c r="D4" s="249"/>
      <c r="E4" s="249"/>
      <c r="F4" s="249"/>
      <c r="G4" s="249"/>
      <c r="H4" s="249"/>
      <c r="I4" s="249"/>
      <c r="J4" s="249"/>
      <c r="K4" s="249"/>
      <c r="L4" s="381"/>
      <c r="M4" s="381"/>
      <c r="N4" s="381"/>
      <c r="O4" s="381"/>
      <c r="P4" s="381"/>
      <c r="Q4" s="381"/>
      <c r="R4" s="381"/>
      <c r="S4" s="381"/>
      <c r="T4" s="381"/>
      <c r="U4" s="381"/>
      <c r="V4" s="381"/>
      <c r="W4" s="381"/>
      <c r="X4" s="381"/>
    </row>
    <row r="5" spans="1:24" ht="15">
      <c r="B5" s="67" t="s">
        <v>0</v>
      </c>
      <c r="C5" s="68" t="s">
        <v>1</v>
      </c>
      <c r="D5" s="68" t="s">
        <v>1</v>
      </c>
      <c r="E5" s="68" t="s">
        <v>98</v>
      </c>
      <c r="F5" s="68" t="s">
        <v>2</v>
      </c>
      <c r="G5" s="68" t="s">
        <v>103</v>
      </c>
      <c r="H5" s="68" t="s">
        <v>3</v>
      </c>
      <c r="I5" s="68" t="s">
        <v>3</v>
      </c>
      <c r="J5" s="68" t="s">
        <v>3</v>
      </c>
      <c r="M5" s="247"/>
      <c r="N5" s="247"/>
      <c r="T5" s="247"/>
      <c r="U5" s="247"/>
    </row>
    <row r="6" spans="1:24" ht="15">
      <c r="B6" s="68" t="s">
        <v>4</v>
      </c>
      <c r="C6" s="68" t="str">
        <f>+TFP_dataset!F4&amp; " ("&amp;TFP_dataset!F3&amp; ")"</f>
        <v>MCR (MW)</v>
      </c>
      <c r="D6" s="68" t="str">
        <f>+TFP_dataset!J4&amp; " ("&amp;TFP_dataset!J3&amp; ")"</f>
        <v>O&amp;M_total (K$)</v>
      </c>
      <c r="E6" s="16" t="str">
        <f>'Can O&amp;M price indexes'!N4</f>
        <v>O&amp;M Price Index</v>
      </c>
      <c r="F6" s="68" t="str">
        <f>+TFP_dataset!M4&amp; " ("&amp;TFP_dataset!M3&amp; ")"</f>
        <v>Net_generation (MWh)</v>
      </c>
      <c r="G6" s="16" t="str">
        <f>+TFP_dataset!N4&amp; " ("&amp;TFP_dataset!N3&amp; ")"</f>
        <v>Revenue (K$)</v>
      </c>
      <c r="H6" s="16" t="str">
        <f>+TFP_dataset!O4&amp; " ("&amp;TFP_dataset!O3&amp; ")"</f>
        <v>Capital (K$)</v>
      </c>
      <c r="I6" s="16" t="s">
        <v>5</v>
      </c>
      <c r="J6" s="16" t="s">
        <v>216</v>
      </c>
      <c r="M6" s="247"/>
      <c r="N6" s="247"/>
      <c r="T6" s="247"/>
      <c r="U6" s="247"/>
    </row>
    <row r="7" spans="1:24">
      <c r="B7" s="2">
        <v>2002</v>
      </c>
      <c r="C7" s="3">
        <f>SUMIFS(TFP_dataset!$F$5:$F$264,TFP_dataset!$D$5:$D$264,TFP_Calcs!$C$2,TFP_dataset!$E$5:$E$264,TFP_Calcs!$B7)</f>
        <v>40990</v>
      </c>
      <c r="D7" s="3">
        <f>SUMIFS(TFP_dataset!$J$5:$J$264,TFP_dataset!$D$5:$D$264,TFP_Calcs!$C$2,TFP_dataset!$E$5:$E$264,TFP_Calcs!$B7)</f>
        <v>711765.42732499947</v>
      </c>
      <c r="E7" s="4">
        <f>AVERAGEIFS('NA comb O&amp;M price indexes'!$C17:$E17,'NA comb O&amp;M price indexes'!$C$4:$E$4,TFP_Calcs!$E$2)</f>
        <v>1</v>
      </c>
      <c r="F7" s="3">
        <f>SUMIFS(TFP_dataset!$M$5:$M$264,TFP_dataset!$D$5:$D$264,TFP_Calcs!$C$2,TFP_dataset!$E$5:$E$264,TFP_Calcs!$B7)</f>
        <v>94808476.363999993</v>
      </c>
      <c r="G7" s="3">
        <f>SUMIFS(TFP_dataset!$N$5:$N$264,TFP_dataset!$D$5:$D$264,TFP_Calcs!$C$2,TFP_dataset!$E$5:$E$264,TFP_Calcs!$B7)</f>
        <v>3632052.3804147649</v>
      </c>
      <c r="H7" s="3">
        <f t="shared" ref="H7:H17" si="0">G7-D7</f>
        <v>2920286.9530897653</v>
      </c>
      <c r="I7" s="139">
        <f>H7/G7</f>
        <v>0.80403216892931506</v>
      </c>
      <c r="J7" s="5">
        <f>1-I7</f>
        <v>0.19596783107068494</v>
      </c>
      <c r="M7" s="238"/>
      <c r="N7" s="238"/>
      <c r="P7" s="248"/>
      <c r="T7" s="238"/>
      <c r="U7" s="238"/>
    </row>
    <row r="8" spans="1:24">
      <c r="B8" s="2">
        <v>2003</v>
      </c>
      <c r="C8" s="3">
        <f>SUMIFS(TFP_dataset!$F$5:$F$264,TFP_dataset!$D$5:$D$264,TFP_Calcs!$C$2,TFP_dataset!$E$5:$E$264,TFP_Calcs!$B8)</f>
        <v>41534.5</v>
      </c>
      <c r="D8" s="3">
        <f>SUMIFS(TFP_dataset!$J$5:$J$264,TFP_dataset!$D$5:$D$264,TFP_Calcs!$C$2,TFP_dataset!$E$5:$E$264,TFP_Calcs!$B8)</f>
        <v>796805.35261249996</v>
      </c>
      <c r="E8" s="4">
        <f>AVERAGEIFS('NA comb O&amp;M price indexes'!$C18:$E18,'NA comb O&amp;M price indexes'!$C$4:$E$4,TFP_Calcs!$E$2)</f>
        <v>1.0239976563258935</v>
      </c>
      <c r="F8" s="3">
        <f>SUMIFS(TFP_dataset!$M$5:$M$264,TFP_dataset!$D$5:$D$264,TFP_Calcs!$C$2,TFP_dataset!$E$5:$E$264,TFP_Calcs!$B8)</f>
        <v>105715094.91399999</v>
      </c>
      <c r="G8" s="3">
        <f>SUMIFS(TFP_dataset!$N$5:$N$264,TFP_dataset!$D$5:$D$264,TFP_Calcs!$C$2,TFP_dataset!$E$5:$E$264,TFP_Calcs!$B8)</f>
        <v>4627062.412334512</v>
      </c>
      <c r="H8" s="3">
        <f t="shared" si="0"/>
        <v>3830257.0597220119</v>
      </c>
      <c r="I8" s="139">
        <f t="shared" ref="I8:I17" si="1">H8/G8</f>
        <v>0.82779455265430824</v>
      </c>
      <c r="J8" s="5">
        <f t="shared" ref="J8:J17" si="2">1-I8</f>
        <v>0.17220544734569176</v>
      </c>
      <c r="M8" s="238"/>
      <c r="N8" s="238"/>
      <c r="P8" s="248"/>
      <c r="Q8" s="382"/>
      <c r="T8" s="238"/>
      <c r="U8" s="238"/>
    </row>
    <row r="9" spans="1:24">
      <c r="B9" s="2">
        <v>2004</v>
      </c>
      <c r="C9" s="3">
        <f>SUMIFS(TFP_dataset!$F$5:$F$264,TFP_dataset!$D$5:$D$264,TFP_Calcs!$C$2,TFP_dataset!$E$5:$E$264,TFP_Calcs!$B9)</f>
        <v>41558.519999999997</v>
      </c>
      <c r="D9" s="3">
        <f>SUMIFS(TFP_dataset!$J$5:$J$264,TFP_dataset!$D$5:$D$264,TFP_Calcs!$C$2,TFP_dataset!$E$5:$E$264,TFP_Calcs!$B9)</f>
        <v>821320.0541899997</v>
      </c>
      <c r="E9" s="4">
        <f>AVERAGEIFS('NA comb O&amp;M price indexes'!$C19:$E19,'NA comb O&amp;M price indexes'!$C$4:$E$4,TFP_Calcs!$E$2)</f>
        <v>1.0531521622551805</v>
      </c>
      <c r="F9" s="3">
        <f>SUMIFS(TFP_dataset!$M$5:$M$264,TFP_dataset!$D$5:$D$264,TFP_Calcs!$C$2,TFP_dataset!$E$5:$E$264,TFP_Calcs!$B9)</f>
        <v>101232949.204</v>
      </c>
      <c r="G9" s="3">
        <f>SUMIFS(TFP_dataset!$N$5:$N$264,TFP_dataset!$D$5:$D$264,TFP_Calcs!$C$2,TFP_dataset!$E$5:$E$264,TFP_Calcs!$B9)</f>
        <v>4478642.333154751</v>
      </c>
      <c r="H9" s="3">
        <f t="shared" si="0"/>
        <v>3657322.2789647514</v>
      </c>
      <c r="I9" s="5">
        <f t="shared" si="1"/>
        <v>0.81661405553422195</v>
      </c>
      <c r="J9" s="5">
        <f t="shared" si="2"/>
        <v>0.18338594446577805</v>
      </c>
      <c r="M9" s="238"/>
      <c r="N9" s="238"/>
      <c r="P9" s="248"/>
      <c r="Q9" s="382"/>
      <c r="T9" s="238"/>
      <c r="U9" s="238"/>
    </row>
    <row r="10" spans="1:24">
      <c r="B10" s="2">
        <v>2005</v>
      </c>
      <c r="C10" s="3">
        <f>SUMIFS(TFP_dataset!$F$5:$F$264,TFP_dataset!$D$5:$D$264,TFP_Calcs!$C$2,TFP_dataset!$E$5:$E$264,TFP_Calcs!$B10)</f>
        <v>41609.42</v>
      </c>
      <c r="D10" s="3">
        <f>SUMIFS(TFP_dataset!$J$5:$J$264,TFP_dataset!$D$5:$D$264,TFP_Calcs!$C$2,TFP_dataset!$E$5:$E$264,TFP_Calcs!$B10)</f>
        <v>867346.34293499973</v>
      </c>
      <c r="E10" s="4">
        <f>AVERAGEIFS('NA comb O&amp;M price indexes'!$C20:$E20,'NA comb O&amp;M price indexes'!$C$4:$E$4,TFP_Calcs!$E$2)</f>
        <v>1.0841415691452099</v>
      </c>
      <c r="F10" s="3">
        <f>SUMIFS(TFP_dataset!$M$5:$M$264,TFP_dataset!$D$5:$D$264,TFP_Calcs!$C$2,TFP_dataset!$E$5:$E$264,TFP_Calcs!$B10)</f>
        <v>102903142.301</v>
      </c>
      <c r="G10" s="3">
        <f>SUMIFS(TFP_dataset!$N$5:$N$264,TFP_dataset!$D$5:$D$264,TFP_Calcs!$C$2,TFP_dataset!$E$5:$E$264,TFP_Calcs!$B10)</f>
        <v>5536186.7794927806</v>
      </c>
      <c r="H10" s="3">
        <f t="shared" si="0"/>
        <v>4668840.436557781</v>
      </c>
      <c r="I10" s="5">
        <f t="shared" si="1"/>
        <v>0.84333145222848405</v>
      </c>
      <c r="J10" s="5">
        <f t="shared" si="2"/>
        <v>0.15666854777151595</v>
      </c>
      <c r="M10" s="238"/>
      <c r="N10" s="238"/>
      <c r="P10" s="248"/>
      <c r="Q10" s="382"/>
      <c r="T10" s="238"/>
      <c r="U10" s="238"/>
    </row>
    <row r="11" spans="1:24">
      <c r="B11" s="2">
        <v>2006</v>
      </c>
      <c r="C11" s="3">
        <f>SUMIFS(TFP_dataset!$F$5:$F$264,TFP_dataset!$D$5:$D$264,TFP_Calcs!$C$2,TFP_dataset!$E$5:$E$264,TFP_Calcs!$B11)</f>
        <v>41735.299999999996</v>
      </c>
      <c r="D11" s="3">
        <f>SUMIFS(TFP_dataset!$J$5:$J$264,TFP_dataset!$D$5:$D$264,TFP_Calcs!$C$2,TFP_dataset!$E$5:$E$264,TFP_Calcs!$B11)</f>
        <v>913380.07926500042</v>
      </c>
      <c r="E11" s="4">
        <f>AVERAGEIFS('NA comb O&amp;M price indexes'!$C21:$E21,'NA comb O&amp;M price indexes'!$C$4:$E$4,TFP_Calcs!$E$2)</f>
        <v>1.1155425348962305</v>
      </c>
      <c r="F11" s="3">
        <f>SUMIFS(TFP_dataset!$M$5:$M$264,TFP_dataset!$D$5:$D$264,TFP_Calcs!$C$2,TFP_dataset!$E$5:$E$264,TFP_Calcs!$B11)</f>
        <v>104117150.42</v>
      </c>
      <c r="G11" s="3">
        <f>SUMIFS(TFP_dataset!$N$5:$N$264,TFP_dataset!$D$5:$D$264,TFP_Calcs!$C$2,TFP_dataset!$E$5:$E$264,TFP_Calcs!$B11)</f>
        <v>4707061.7387356013</v>
      </c>
      <c r="H11" s="3">
        <f t="shared" si="0"/>
        <v>3793681.659470601</v>
      </c>
      <c r="I11" s="5">
        <f t="shared" si="1"/>
        <v>0.80595536452208294</v>
      </c>
      <c r="J11" s="5">
        <f t="shared" si="2"/>
        <v>0.19404463547791706</v>
      </c>
      <c r="M11" s="238"/>
      <c r="N11" s="238"/>
      <c r="P11" s="248"/>
      <c r="Q11" s="382"/>
      <c r="T11" s="238"/>
      <c r="U11" s="238"/>
    </row>
    <row r="12" spans="1:24">
      <c r="B12" s="2">
        <v>2007</v>
      </c>
      <c r="C12" s="3">
        <f>SUMIFS(TFP_dataset!$F$5:$F$264,TFP_dataset!$D$5:$D$264,TFP_Calcs!$C$2,TFP_dataset!$E$5:$E$264,TFP_Calcs!$B12)</f>
        <v>41166.099999999991</v>
      </c>
      <c r="D12" s="3">
        <f>SUMIFS(TFP_dataset!$J$5:$J$264,TFP_dataset!$D$5:$D$264,TFP_Calcs!$C$2,TFP_dataset!$E$5:$E$264,TFP_Calcs!$B12)</f>
        <v>994736.20452249993</v>
      </c>
      <c r="E12" s="4">
        <f>AVERAGEIFS('NA comb O&amp;M price indexes'!$C22:$E22,'NA comb O&amp;M price indexes'!$C$4:$E$4,TFP_Calcs!$E$2)</f>
        <v>1.1497929725799951</v>
      </c>
      <c r="F12" s="3">
        <f>SUMIFS(TFP_dataset!$M$5:$M$264,TFP_dataset!$D$5:$D$264,TFP_Calcs!$C$2,TFP_dataset!$E$5:$E$264,TFP_Calcs!$B12)</f>
        <v>86806588.325000003</v>
      </c>
      <c r="G12" s="3">
        <f>SUMIFS(TFP_dataset!$N$5:$N$264,TFP_dataset!$D$5:$D$264,TFP_Calcs!$C$2,TFP_dataset!$E$5:$E$264,TFP_Calcs!$B12)</f>
        <v>4168708.6288428507</v>
      </c>
      <c r="H12" s="3">
        <f t="shared" si="0"/>
        <v>3173972.4243203509</v>
      </c>
      <c r="I12" s="5">
        <f t="shared" si="1"/>
        <v>0.76138025151481536</v>
      </c>
      <c r="J12" s="5">
        <f t="shared" si="2"/>
        <v>0.23861974848518464</v>
      </c>
      <c r="M12" s="238"/>
      <c r="N12" s="238"/>
      <c r="P12" s="248"/>
      <c r="Q12" s="382"/>
      <c r="T12" s="238"/>
      <c r="U12" s="238"/>
    </row>
    <row r="13" spans="1:24">
      <c r="B13" s="2">
        <v>2008</v>
      </c>
      <c r="C13" s="3">
        <f>SUMIFS(TFP_dataset!$F$5:$F$264,TFP_dataset!$D$5:$D$264,TFP_Calcs!$C$2,TFP_dataset!$E$5:$E$264,TFP_Calcs!$B13)</f>
        <v>41525.199999999997</v>
      </c>
      <c r="D13" s="3">
        <f>SUMIFS(TFP_dataset!$J$5:$J$264,TFP_dataset!$D$5:$D$264,TFP_Calcs!$C$2,TFP_dataset!$E$5:$E$264,TFP_Calcs!$B13)</f>
        <v>1083502.9741700001</v>
      </c>
      <c r="E13" s="4">
        <f>AVERAGEIFS('NA comb O&amp;M price indexes'!$C23:$E23,'NA comb O&amp;M price indexes'!$C$4:$E$4,TFP_Calcs!$E$2)</f>
        <v>1.1805970319625594</v>
      </c>
      <c r="F13" s="3">
        <f>SUMIFS(TFP_dataset!$M$5:$M$264,TFP_dataset!$D$5:$D$264,TFP_Calcs!$C$2,TFP_dataset!$E$5:$E$264,TFP_Calcs!$B13)</f>
        <v>91466658.144999996</v>
      </c>
      <c r="G13" s="3">
        <f>SUMIFS(TFP_dataset!$N$5:$N$264,TFP_dataset!$D$5:$D$264,TFP_Calcs!$C$2,TFP_dataset!$E$5:$E$264,TFP_Calcs!$B13)</f>
        <v>5126422.837173244</v>
      </c>
      <c r="H13" s="3">
        <f t="shared" si="0"/>
        <v>4042919.8630032437</v>
      </c>
      <c r="I13" s="5">
        <f t="shared" si="1"/>
        <v>0.78864346375933092</v>
      </c>
      <c r="J13" s="5">
        <f t="shared" si="2"/>
        <v>0.21135653624066908</v>
      </c>
      <c r="M13" s="238"/>
      <c r="N13" s="238"/>
      <c r="P13" s="248"/>
      <c r="Q13" s="382"/>
      <c r="T13" s="238"/>
      <c r="U13" s="238"/>
    </row>
    <row r="14" spans="1:24">
      <c r="B14" s="2">
        <v>2009</v>
      </c>
      <c r="C14" s="3">
        <f>SUMIFS(TFP_dataset!$F$5:$F$264,TFP_dataset!$D$5:$D$264,TFP_Calcs!$C$2,TFP_dataset!$E$5:$E$264,TFP_Calcs!$B14)</f>
        <v>41535.572999999989</v>
      </c>
      <c r="D14" s="3">
        <f>SUMIFS(TFP_dataset!$J$5:$J$264,TFP_dataset!$D$5:$D$264,TFP_Calcs!$C$2,TFP_dataset!$E$5:$E$264,TFP_Calcs!$B14)</f>
        <v>1073367.1197624998</v>
      </c>
      <c r="E14" s="4">
        <f>AVERAGEIFS('NA comb O&amp;M price indexes'!$C24:$E24,'NA comb O&amp;M price indexes'!$C$4:$E$4,TFP_Calcs!$E$2)</f>
        <v>1.2033298140356607</v>
      </c>
      <c r="F14" s="3">
        <f>SUMIFS(TFP_dataset!$M$5:$M$264,TFP_dataset!$D$5:$D$264,TFP_Calcs!$C$2,TFP_dataset!$E$5:$E$264,TFP_Calcs!$B14)</f>
        <v>101304275.34</v>
      </c>
      <c r="G14" s="3">
        <f>SUMIFS(TFP_dataset!$N$5:$N$264,TFP_dataset!$D$5:$D$264,TFP_Calcs!$C$2,TFP_dataset!$E$5:$E$264,TFP_Calcs!$B14)</f>
        <v>3609410.2885629353</v>
      </c>
      <c r="H14" s="3">
        <f t="shared" si="0"/>
        <v>2536043.1688004355</v>
      </c>
      <c r="I14" s="5">
        <f t="shared" si="1"/>
        <v>0.7026198093456828</v>
      </c>
      <c r="J14" s="5">
        <f t="shared" si="2"/>
        <v>0.2973801906543172</v>
      </c>
      <c r="M14" s="238"/>
      <c r="N14" s="238"/>
      <c r="P14" s="248"/>
      <c r="Q14" s="382"/>
      <c r="T14" s="238"/>
      <c r="U14" s="238"/>
    </row>
    <row r="15" spans="1:24">
      <c r="B15" s="2">
        <v>2010</v>
      </c>
      <c r="C15" s="3">
        <f>SUMIFS(TFP_dataset!$F$5:$F$264,TFP_dataset!$D$5:$D$264,TFP_Calcs!$C$2,TFP_dataset!$E$5:$E$264,TFP_Calcs!$B15)</f>
        <v>41530.119999999995</v>
      </c>
      <c r="D15" s="3">
        <f>SUMIFS(TFP_dataset!$J$5:$J$264,TFP_dataset!$D$5:$D$264,TFP_Calcs!$C$2,TFP_dataset!$E$5:$E$264,TFP_Calcs!$B15)</f>
        <v>1152772.932474955</v>
      </c>
      <c r="E15" s="4">
        <f>AVERAGEIFS('NA comb O&amp;M price indexes'!$C25:$E25,'NA comb O&amp;M price indexes'!$C$4:$E$4,TFP_Calcs!$E$2)</f>
        <v>1.228999758014313</v>
      </c>
      <c r="F15" s="3">
        <f>SUMIFS(TFP_dataset!$M$5:$M$264,TFP_dataset!$D$5:$D$264,TFP_Calcs!$C$2,TFP_dataset!$E$5:$E$264,TFP_Calcs!$B15)</f>
        <v>96564012.170000002</v>
      </c>
      <c r="G15" s="3">
        <f>SUMIFS(TFP_dataset!$N$5:$N$264,TFP_dataset!$D$5:$D$264,TFP_Calcs!$C$2,TFP_dataset!$E$5:$E$264,TFP_Calcs!$B15)</f>
        <v>3518184.0287047201</v>
      </c>
      <c r="H15" s="3">
        <f t="shared" si="0"/>
        <v>2365411.0962297651</v>
      </c>
      <c r="I15" s="5">
        <f t="shared" si="1"/>
        <v>0.67233864883999028</v>
      </c>
      <c r="J15" s="5">
        <f t="shared" si="2"/>
        <v>0.32766135116000972</v>
      </c>
      <c r="M15" s="238"/>
      <c r="N15" s="238"/>
      <c r="P15" s="248"/>
      <c r="Q15" s="382"/>
      <c r="T15" s="238"/>
      <c r="U15" s="238"/>
    </row>
    <row r="16" spans="1:24">
      <c r="B16" s="2">
        <v>2011</v>
      </c>
      <c r="C16" s="3">
        <f>SUMIFS(TFP_dataset!$F$5:$F$264,TFP_dataset!$D$5:$D$264,TFP_Calcs!$C$2,TFP_dataset!$E$5:$E$264,TFP_Calcs!$B16)</f>
        <v>41202.149999999994</v>
      </c>
      <c r="D16" s="3">
        <f>SUMIFS(TFP_dataset!$J$5:$J$264,TFP_dataset!$D$5:$D$264,TFP_Calcs!$C$2,TFP_dataset!$E$5:$E$264,TFP_Calcs!$B16)</f>
        <v>1150455.601264321</v>
      </c>
      <c r="E16" s="4">
        <f>AVERAGEIFS('NA comb O&amp;M price indexes'!$C26:$E26,'NA comb O&amp;M price indexes'!$C$4:$E$4,TFP_Calcs!$E$2)</f>
        <v>1.2578553356811484</v>
      </c>
      <c r="F16" s="3">
        <f>SUMIFS(TFP_dataset!$M$5:$M$264,TFP_dataset!$D$5:$D$264,TFP_Calcs!$C$2,TFP_dataset!$E$5:$E$264,TFP_Calcs!$B16)</f>
        <v>101773095.34200001</v>
      </c>
      <c r="G16" s="3">
        <f>SUMIFS(TFP_dataset!$N$5:$N$264,TFP_dataset!$D$5:$D$264,TFP_Calcs!$C$2,TFP_dataset!$E$5:$E$264,TFP_Calcs!$B16)</f>
        <v>3418819.0889658812</v>
      </c>
      <c r="H16" s="3">
        <f t="shared" si="0"/>
        <v>2268363.4877015604</v>
      </c>
      <c r="I16" s="5">
        <f t="shared" si="1"/>
        <v>0.66349327901632005</v>
      </c>
      <c r="J16" s="5">
        <f t="shared" si="2"/>
        <v>0.33650672098367995</v>
      </c>
      <c r="M16" s="238"/>
      <c r="N16" s="238"/>
      <c r="P16" s="248"/>
      <c r="Q16" s="382"/>
      <c r="T16" s="238"/>
      <c r="U16" s="238"/>
    </row>
    <row r="17" spans="2:21">
      <c r="B17" s="2">
        <v>2012</v>
      </c>
      <c r="C17" s="3">
        <f>SUMIFS(TFP_dataset!$F$5:$F$264,TFP_dataset!$D$5:$D$264,TFP_Calcs!$C$2,TFP_dataset!$E$5:$E$264,TFP_Calcs!$B17)</f>
        <v>41246.36</v>
      </c>
      <c r="D17" s="3">
        <f>SUMIFS(TFP_dataset!$J$5:$J$264,TFP_dataset!$D$5:$D$264,TFP_Calcs!$C$2,TFP_dataset!$E$5:$E$264,TFP_Calcs!$B17)</f>
        <v>1186816.4294153645</v>
      </c>
      <c r="E17" s="4">
        <f>AVERAGEIFS('NA comb O&amp;M price indexes'!$C27:$E27,'NA comb O&amp;M price indexes'!$C$4:$E$4,TFP_Calcs!$E$2)</f>
        <v>1.2840434187226464</v>
      </c>
      <c r="F17" s="3">
        <f>SUMIFS(TFP_dataset!$M$5:$M$264,TFP_dataset!$D$5:$D$264,TFP_Calcs!$C$2,TFP_dataset!$E$5:$E$264,TFP_Calcs!$B17)</f>
        <v>88107289.422999993</v>
      </c>
      <c r="G17" s="3">
        <f>SUMIFS(TFP_dataset!$N$5:$N$264,TFP_dataset!$D$5:$D$264,TFP_Calcs!$C$2,TFP_dataset!$E$5:$E$264,TFP_Calcs!$B17)</f>
        <v>2529004.0543560535</v>
      </c>
      <c r="H17" s="3">
        <f t="shared" si="0"/>
        <v>1342187.624940689</v>
      </c>
      <c r="I17" s="5">
        <f t="shared" si="1"/>
        <v>0.53071786208837968</v>
      </c>
      <c r="J17" s="5">
        <f t="shared" si="2"/>
        <v>0.46928213791162032</v>
      </c>
      <c r="M17" s="238"/>
      <c r="N17" s="238"/>
      <c r="P17" s="248"/>
      <c r="Q17" s="382"/>
      <c r="T17" s="238"/>
      <c r="U17" s="238"/>
    </row>
    <row r="18" spans="2:21">
      <c r="B18" s="2">
        <v>2013</v>
      </c>
      <c r="C18" s="3">
        <f>SUMIFS(TFP_dataset!$F$5:$F$264,TFP_dataset!$D$5:$D$264,TFP_Calcs!$C$2,TFP_dataset!$E$5:$E$264,TFP_Calcs!$B18)</f>
        <v>41109.65</v>
      </c>
      <c r="D18" s="3">
        <f>SUMIFS(TFP_dataset!$J$5:$J$264,TFP_dataset!$D$5:$D$264,TFP_Calcs!$C$2,TFP_dataset!$E$5:$E$264,TFP_Calcs!$B18)</f>
        <v>1173363.9959500001</v>
      </c>
      <c r="E18" s="4">
        <f>AVERAGEIFS('NA comb O&amp;M price indexes'!$C28:$E28,'NA comb O&amp;M price indexes'!$C$4:$E$4,TFP_Calcs!$E$2)</f>
        <v>1.3121578800594988</v>
      </c>
      <c r="F18" s="3">
        <f>SUMIFS(TFP_dataset!$M$5:$M$264,TFP_dataset!$D$5:$D$264,TFP_Calcs!$C$2,TFP_dataset!$E$5:$E$264,TFP_Calcs!$B18)</f>
        <v>89919225.372000009</v>
      </c>
      <c r="G18" s="3">
        <f>SUMIFS(TFP_dataset!$N$5:$N$264,TFP_dataset!$D$5:$D$264,TFP_Calcs!$C$2,TFP_dataset!$E$5:$E$264,TFP_Calcs!$B18)</f>
        <v>3371173.7364169005</v>
      </c>
      <c r="H18" s="3">
        <f t="shared" ref="H18:H19" si="3">G18-D18</f>
        <v>2197809.7404669002</v>
      </c>
      <c r="I18" s="5">
        <f t="shared" ref="I18:I19" si="4">H18/G18</f>
        <v>0.65194199774553097</v>
      </c>
      <c r="J18" s="5">
        <f t="shared" ref="J18:J19" si="5">1-I18</f>
        <v>0.34805800225446903</v>
      </c>
      <c r="M18" s="238"/>
      <c r="N18" s="238"/>
      <c r="P18" s="248"/>
      <c r="Q18" s="382"/>
      <c r="T18" s="238"/>
      <c r="U18" s="238"/>
    </row>
    <row r="19" spans="2:21">
      <c r="B19" s="2">
        <v>2014</v>
      </c>
      <c r="C19" s="3">
        <f>SUMIFS(TFP_dataset!$F$5:$F$264,TFP_dataset!$D$5:$D$264,TFP_Calcs!$C$2,TFP_dataset!$E$5:$E$264,TFP_Calcs!$B19)</f>
        <v>41316.479999999996</v>
      </c>
      <c r="D19" s="3">
        <f>SUMIFS(TFP_dataset!$J$5:$J$264,TFP_dataset!$D$5:$D$264,TFP_Calcs!$C$2,TFP_dataset!$E$5:$E$264,TFP_Calcs!$B19)</f>
        <v>1203719.4530803985</v>
      </c>
      <c r="E19" s="4">
        <f>AVERAGEIFS('NA comb O&amp;M price indexes'!$C29:$E29,'NA comb O&amp;M price indexes'!$C$4:$E$4,TFP_Calcs!$E$2)</f>
        <v>1.343302575192457</v>
      </c>
      <c r="F19" s="3">
        <f>SUMIFS(TFP_dataset!$M$5:$M$264,TFP_dataset!$D$5:$D$264,TFP_Calcs!$C$2,TFP_dataset!$E$5:$E$264,TFP_Calcs!$B19)</f>
        <v>87044180.748999998</v>
      </c>
      <c r="G19" s="3">
        <f>SUMIFS(TFP_dataset!$N$5:$N$264,TFP_dataset!$D$5:$D$264,TFP_Calcs!$C$2,TFP_dataset!$E$5:$E$264,TFP_Calcs!$B19)</f>
        <v>3661556.6603654176</v>
      </c>
      <c r="H19" s="3">
        <f t="shared" si="3"/>
        <v>2457837.2072850191</v>
      </c>
      <c r="I19" s="5">
        <f t="shared" si="4"/>
        <v>0.67125472449734824</v>
      </c>
      <c r="J19" s="5">
        <f t="shared" si="5"/>
        <v>0.32874527550265176</v>
      </c>
      <c r="M19" s="238"/>
      <c r="N19" s="238"/>
      <c r="P19" s="248"/>
      <c r="Q19" s="382"/>
      <c r="T19" s="238"/>
      <c r="U19" s="238"/>
    </row>
    <row r="20" spans="2:21">
      <c r="B20" s="2"/>
      <c r="C20" s="2"/>
      <c r="D20" s="2"/>
      <c r="E20" s="2"/>
      <c r="F20" s="2"/>
      <c r="G20" s="2"/>
      <c r="H20" s="2"/>
      <c r="I20" s="2"/>
      <c r="Q20" s="383"/>
    </row>
    <row r="21" spans="2:21">
      <c r="B21" s="2"/>
      <c r="C21" s="2"/>
      <c r="D21" s="2"/>
      <c r="E21" s="2"/>
      <c r="F21" s="2"/>
      <c r="G21" s="2"/>
      <c r="H21" s="2"/>
      <c r="I21" s="2"/>
    </row>
    <row r="22" spans="2:21" ht="14.25" customHeight="1">
      <c r="B22" s="252" t="s">
        <v>266</v>
      </c>
      <c r="C22" s="251"/>
      <c r="D22" s="251"/>
      <c r="E22" s="251"/>
      <c r="F22" s="251"/>
      <c r="G22" s="251"/>
      <c r="H22" s="251"/>
      <c r="I22" s="251"/>
      <c r="J22" s="251"/>
      <c r="K22" s="251"/>
    </row>
    <row r="23" spans="2:21" ht="15">
      <c r="B23" s="67" t="s">
        <v>6</v>
      </c>
      <c r="C23" s="79"/>
      <c r="D23" s="79"/>
      <c r="E23" s="79"/>
      <c r="H23" s="67" t="s">
        <v>99</v>
      </c>
      <c r="I23" s="79"/>
      <c r="J23" s="79"/>
      <c r="K23" s="79"/>
    </row>
    <row r="24" spans="2:21" ht="15">
      <c r="B24" s="67"/>
      <c r="C24" s="68" t="s">
        <v>7</v>
      </c>
      <c r="D24" s="68" t="s">
        <v>7</v>
      </c>
      <c r="E24" s="68" t="s">
        <v>8</v>
      </c>
      <c r="H24" s="67"/>
      <c r="I24" s="68" t="s">
        <v>7</v>
      </c>
      <c r="J24" s="68" t="s">
        <v>7</v>
      </c>
      <c r="K24" s="68" t="s">
        <v>8</v>
      </c>
    </row>
    <row r="25" spans="2:21" ht="15">
      <c r="B25" s="68" t="s">
        <v>4</v>
      </c>
      <c r="C25" s="68" t="s">
        <v>5</v>
      </c>
      <c r="D25" s="68" t="str">
        <f>TFP_dataset!J4</f>
        <v>O&amp;M_total</v>
      </c>
      <c r="E25" s="68" t="s">
        <v>9</v>
      </c>
      <c r="H25" s="68" t="s">
        <v>4</v>
      </c>
      <c r="I25" s="68" t="s">
        <v>5</v>
      </c>
      <c r="J25" s="68" t="str">
        <f>D25</f>
        <v>O&amp;M_total</v>
      </c>
      <c r="K25" s="68" t="s">
        <v>9</v>
      </c>
    </row>
    <row r="26" spans="2:21">
      <c r="B26" s="2">
        <v>2002</v>
      </c>
      <c r="C26" s="6">
        <f t="shared" ref="C26:C36" si="6">(C7/$C$7)</f>
        <v>1</v>
      </c>
      <c r="D26" s="6">
        <f>(D7/E7)/($D$7/$E$7)</f>
        <v>1</v>
      </c>
      <c r="E26" s="9">
        <f t="shared" ref="E26:E36" si="7">F7/$F$7</f>
        <v>1</v>
      </c>
      <c r="F26" s="9"/>
      <c r="H26" s="95">
        <v>2002</v>
      </c>
      <c r="I26" s="144"/>
      <c r="J26" s="145"/>
      <c r="K26" s="146"/>
    </row>
    <row r="27" spans="2:21">
      <c r="B27" s="2">
        <v>2003</v>
      </c>
      <c r="C27" s="6">
        <f t="shared" si="6"/>
        <v>1.0132837277384728</v>
      </c>
      <c r="D27" s="6">
        <f>(D8/E8)/($D$7/$E$7)</f>
        <v>1.0932422090662974</v>
      </c>
      <c r="E27" s="9">
        <f t="shared" si="7"/>
        <v>1.1150384329363758</v>
      </c>
      <c r="F27" s="9"/>
      <c r="G27" s="105"/>
      <c r="H27" s="95">
        <v>2003</v>
      </c>
      <c r="I27" s="253">
        <f>LN(C27/C26)</f>
        <v>1.3196272662123781E-2</v>
      </c>
      <c r="J27" s="253">
        <f t="shared" ref="J27:J36" si="8">LN(D27/D26)</f>
        <v>8.9147784888333276E-2</v>
      </c>
      <c r="K27" s="253">
        <f t="shared" ref="K27:K36" si="9">LN(E27/E26)</f>
        <v>0.10888887331927365</v>
      </c>
    </row>
    <row r="28" spans="2:21">
      <c r="B28" s="2">
        <v>2004</v>
      </c>
      <c r="C28" s="6">
        <f t="shared" si="6"/>
        <v>1.0138697243230055</v>
      </c>
      <c r="D28" s="6">
        <f>(D9/E9)/($D$7/$E$7)</f>
        <v>1.0956817153669798</v>
      </c>
      <c r="E28" s="9">
        <f t="shared" si="7"/>
        <v>1.0677626419744835</v>
      </c>
      <c r="F28" s="9"/>
      <c r="G28" s="105"/>
      <c r="H28" s="95">
        <v>2004</v>
      </c>
      <c r="I28" s="253">
        <f t="shared" ref="I28:I36" si="10">LN(C28/C27)</f>
        <v>5.7814725398257455E-4</v>
      </c>
      <c r="J28" s="253">
        <f t="shared" si="8"/>
        <v>2.2289557745310655E-3</v>
      </c>
      <c r="K28" s="253">
        <f t="shared" si="9"/>
        <v>-4.3323402823670323E-2</v>
      </c>
    </row>
    <row r="29" spans="2:21">
      <c r="B29" s="2">
        <v>2005</v>
      </c>
      <c r="C29" s="6">
        <f t="shared" si="6"/>
        <v>1.0151114906074652</v>
      </c>
      <c r="D29" s="6">
        <f t="shared" ref="D29:D35" si="11">(D10/E10)/($D$7/$E$7)</f>
        <v>1.1240086817007984</v>
      </c>
      <c r="E29" s="9">
        <f t="shared" si="7"/>
        <v>1.0853791374720758</v>
      </c>
      <c r="F29" s="9"/>
      <c r="G29" s="105"/>
      <c r="H29" s="95">
        <v>2005</v>
      </c>
      <c r="I29" s="253">
        <f t="shared" si="10"/>
        <v>1.2240295083675689E-3</v>
      </c>
      <c r="J29" s="253">
        <f t="shared" si="8"/>
        <v>2.552473471190023E-2</v>
      </c>
      <c r="K29" s="253">
        <f t="shared" si="9"/>
        <v>1.6363890916603084E-2</v>
      </c>
    </row>
    <row r="30" spans="2:21">
      <c r="B30" s="2">
        <v>2006</v>
      </c>
      <c r="C30" s="6">
        <f t="shared" si="6"/>
        <v>1.0181824835325688</v>
      </c>
      <c r="D30" s="6">
        <f t="shared" si="11"/>
        <v>1.1503460670817218</v>
      </c>
      <c r="E30" s="9">
        <f t="shared" si="7"/>
        <v>1.0981839853670998</v>
      </c>
      <c r="F30" s="9"/>
      <c r="G30" s="105"/>
      <c r="H30" s="95">
        <v>2006</v>
      </c>
      <c r="I30" s="253">
        <f t="shared" si="10"/>
        <v>3.0207095474780645E-3</v>
      </c>
      <c r="J30" s="253">
        <f t="shared" si="8"/>
        <v>2.3161349627825741E-2</v>
      </c>
      <c r="K30" s="253">
        <f t="shared" si="9"/>
        <v>1.1728531724450814E-2</v>
      </c>
    </row>
    <row r="31" spans="2:21">
      <c r="B31" s="2">
        <v>2007</v>
      </c>
      <c r="C31" s="6">
        <f t="shared" si="6"/>
        <v>1.0042961697975115</v>
      </c>
      <c r="D31" s="6">
        <f t="shared" si="11"/>
        <v>1.2154899876033081</v>
      </c>
      <c r="E31" s="9">
        <f t="shared" si="7"/>
        <v>0.91559944483995093</v>
      </c>
      <c r="F31" s="9"/>
      <c r="G31" s="105"/>
      <c r="H31" s="95">
        <v>2007</v>
      </c>
      <c r="I31" s="253">
        <f t="shared" si="10"/>
        <v>-1.373219136520336E-2</v>
      </c>
      <c r="J31" s="253">
        <f t="shared" si="8"/>
        <v>5.5084452471632163E-2</v>
      </c>
      <c r="K31" s="253">
        <f t="shared" si="9"/>
        <v>-0.18183419037526402</v>
      </c>
    </row>
    <row r="32" spans="2:21">
      <c r="B32" s="2">
        <v>2008</v>
      </c>
      <c r="C32" s="6">
        <f t="shared" si="6"/>
        <v>1.0130568431324714</v>
      </c>
      <c r="D32" s="6">
        <f t="shared" si="11"/>
        <v>1.2894114771356215</v>
      </c>
      <c r="E32" s="9">
        <f t="shared" si="7"/>
        <v>0.96475190460640159</v>
      </c>
      <c r="F32" s="9"/>
      <c r="G32" s="105"/>
      <c r="H32" s="95">
        <v>2008</v>
      </c>
      <c r="I32" s="253">
        <f t="shared" si="10"/>
        <v>8.6853697404423273E-3</v>
      </c>
      <c r="J32" s="253">
        <f t="shared" si="8"/>
        <v>5.9038617524970298E-2</v>
      </c>
      <c r="K32" s="253">
        <f t="shared" si="9"/>
        <v>5.2291992869089317E-2</v>
      </c>
    </row>
    <row r="33" spans="2:24">
      <c r="B33" s="2">
        <v>2009</v>
      </c>
      <c r="C33" s="6">
        <f t="shared" si="6"/>
        <v>1.0133099048548424</v>
      </c>
      <c r="D33" s="6">
        <f t="shared" si="11"/>
        <v>1.2532182807435832</v>
      </c>
      <c r="E33" s="9">
        <f t="shared" si="7"/>
        <v>1.068514960108214</v>
      </c>
      <c r="F33" s="9"/>
      <c r="G33" s="105"/>
      <c r="H33" s="95">
        <v>2009</v>
      </c>
      <c r="I33" s="253">
        <f t="shared" si="10"/>
        <v>2.4976892651632719E-4</v>
      </c>
      <c r="J33" s="253">
        <f t="shared" si="8"/>
        <v>-2.8471027758183342E-2</v>
      </c>
      <c r="K33" s="253">
        <f t="shared" si="9"/>
        <v>0.10215410108573718</v>
      </c>
    </row>
    <row r="34" spans="2:24">
      <c r="B34" s="2">
        <v>2010</v>
      </c>
      <c r="C34" s="6">
        <f t="shared" si="6"/>
        <v>1.0131768724079042</v>
      </c>
      <c r="D34" s="6">
        <f t="shared" si="11"/>
        <v>1.3178169342200829</v>
      </c>
      <c r="E34" s="9">
        <f t="shared" si="7"/>
        <v>1.0185166545579738</v>
      </c>
      <c r="F34" s="9"/>
      <c r="G34" s="105"/>
      <c r="H34" s="95">
        <v>2010</v>
      </c>
      <c r="I34" s="253">
        <f t="shared" si="10"/>
        <v>-1.3129367397998553E-4</v>
      </c>
      <c r="J34" s="253">
        <f>LN(D34/D33)</f>
        <v>5.0261662545902426E-2</v>
      </c>
      <c r="K34" s="253">
        <f t="shared" si="9"/>
        <v>-4.7922488120050649E-2</v>
      </c>
    </row>
    <row r="35" spans="2:24">
      <c r="B35" s="2">
        <v>2011</v>
      </c>
      <c r="C35" s="6">
        <f t="shared" si="6"/>
        <v>1.0051756525981945</v>
      </c>
      <c r="D35" s="6">
        <f t="shared" si="11"/>
        <v>1.2849974843052514</v>
      </c>
      <c r="E35" s="9">
        <f t="shared" si="7"/>
        <v>1.0734598766386734</v>
      </c>
      <c r="F35" s="9"/>
      <c r="G35" s="105"/>
      <c r="H35" s="95">
        <v>2011</v>
      </c>
      <c r="I35" s="253">
        <f t="shared" si="10"/>
        <v>-7.9285076560355067E-3</v>
      </c>
      <c r="J35" s="253">
        <f t="shared" si="8"/>
        <v>-2.52197691807492E-2</v>
      </c>
      <c r="K35" s="253">
        <f t="shared" si="9"/>
        <v>5.2539652832122773E-2</v>
      </c>
    </row>
    <row r="36" spans="2:24">
      <c r="B36" s="2">
        <v>2012</v>
      </c>
      <c r="C36" s="6">
        <f t="shared" si="6"/>
        <v>1.0062542083434984</v>
      </c>
      <c r="D36" s="6">
        <f>(D17/E17)/($D$7/$E$7)</f>
        <v>1.2985747420344909</v>
      </c>
      <c r="E36" s="9">
        <f t="shared" si="7"/>
        <v>0.92931869387635757</v>
      </c>
      <c r="F36" s="9"/>
      <c r="G36" s="105"/>
      <c r="H36" s="95">
        <v>2012</v>
      </c>
      <c r="I36" s="253">
        <f t="shared" si="10"/>
        <v>1.0724270029176207E-3</v>
      </c>
      <c r="J36" s="253">
        <f t="shared" si="8"/>
        <v>1.051055014637608E-2</v>
      </c>
      <c r="K36" s="253">
        <f t="shared" si="9"/>
        <v>-0.14419050996600269</v>
      </c>
    </row>
    <row r="37" spans="2:24">
      <c r="B37" s="2">
        <v>2013</v>
      </c>
      <c r="C37" s="6">
        <f t="shared" ref="C37" si="12">(C18/$C$7)</f>
        <v>1.0029190046352769</v>
      </c>
      <c r="D37" s="6">
        <f>(D18/E18)/($D$7/$E$7)</f>
        <v>1.2563474885949084</v>
      </c>
      <c r="E37" s="9">
        <f t="shared" ref="E37:E38" si="13">F18/$F$7</f>
        <v>0.94843023346110333</v>
      </c>
      <c r="F37" s="9"/>
      <c r="G37" s="105"/>
      <c r="H37" s="95">
        <v>2013</v>
      </c>
      <c r="I37" s="253">
        <f t="shared" ref="I37:I38" si="14">LN(C37/C36)</f>
        <v>-3.3199793329255771E-3</v>
      </c>
      <c r="J37" s="253">
        <f>LN(D37/D36)</f>
        <v>-3.3058618076617696E-2</v>
      </c>
      <c r="K37" s="253">
        <f t="shared" ref="K37:K38" si="15">LN(E37/E36)</f>
        <v>2.0356501624530659E-2</v>
      </c>
    </row>
    <row r="38" spans="2:24">
      <c r="B38" s="2">
        <v>2014</v>
      </c>
      <c r="C38" s="6">
        <f>(C19/$C$7)</f>
        <v>1.0079648694803609</v>
      </c>
      <c r="D38" s="6">
        <f t="shared" ref="D38" si="16">(D19/E19)/($D$7/$E$7)</f>
        <v>1.2589675685635753</v>
      </c>
      <c r="E38" s="9">
        <f t="shared" si="13"/>
        <v>0.91810546996673181</v>
      </c>
      <c r="F38" s="9"/>
      <c r="G38" s="105"/>
      <c r="H38" s="95">
        <v>2014</v>
      </c>
      <c r="I38" s="253">
        <f t="shared" si="14"/>
        <v>5.0185647221669049E-3</v>
      </c>
      <c r="J38" s="253">
        <f t="shared" ref="J38" si="17">LN(D38/D37)</f>
        <v>2.0833023750548426E-3</v>
      </c>
      <c r="K38" s="253">
        <f t="shared" si="15"/>
        <v>-3.2495957016636948E-2</v>
      </c>
    </row>
    <row r="39" spans="2:24" ht="15">
      <c r="G39" s="147"/>
      <c r="H39" s="88" t="s">
        <v>96</v>
      </c>
      <c r="I39" s="188">
        <f>AVERAGE(I27:I38)</f>
        <v>6.6110977798756153E-4</v>
      </c>
      <c r="J39" s="188">
        <f>AVERAGE(J27:J38)</f>
        <v>1.9190999587581321E-2</v>
      </c>
      <c r="K39" s="254">
        <f>AVERAGE(K27:K38)</f>
        <v>-7.1202503274847605E-3</v>
      </c>
    </row>
    <row r="40" spans="2:24">
      <c r="K40" s="66"/>
    </row>
    <row r="41" spans="2:24" s="360" customFormat="1" ht="14.25" customHeight="1">
      <c r="B41" s="256" t="s">
        <v>267</v>
      </c>
      <c r="C41" s="255"/>
      <c r="D41" s="255"/>
      <c r="E41" s="255"/>
      <c r="F41" s="255"/>
      <c r="G41" s="255"/>
      <c r="H41" s="255"/>
      <c r="I41" s="255"/>
      <c r="J41" s="255"/>
      <c r="K41" s="255"/>
      <c r="L41" s="384"/>
      <c r="M41" s="384"/>
      <c r="N41" s="384"/>
      <c r="O41" s="384"/>
      <c r="P41" s="384"/>
      <c r="Q41" s="384"/>
      <c r="R41" s="384"/>
      <c r="S41" s="384"/>
      <c r="T41" s="384"/>
      <c r="U41" s="384"/>
      <c r="V41" s="384"/>
      <c r="W41" s="384"/>
      <c r="X41" s="384"/>
    </row>
    <row r="42" spans="2:24" ht="15">
      <c r="B42" s="67" t="s">
        <v>10</v>
      </c>
      <c r="C42" s="79"/>
      <c r="D42" s="79"/>
      <c r="E42" s="86"/>
      <c r="H42" s="67" t="s">
        <v>104</v>
      </c>
      <c r="I42" s="79"/>
      <c r="J42" s="79"/>
      <c r="K42" s="79"/>
    </row>
    <row r="43" spans="2:24" ht="15">
      <c r="B43" s="67"/>
      <c r="C43" s="68" t="s">
        <v>7</v>
      </c>
      <c r="D43" s="68" t="s">
        <v>7</v>
      </c>
      <c r="E43" s="68" t="s">
        <v>8</v>
      </c>
      <c r="H43" s="67"/>
      <c r="I43" s="68" t="s">
        <v>7</v>
      </c>
      <c r="J43" s="68" t="s">
        <v>7</v>
      </c>
      <c r="K43" s="68" t="s">
        <v>8</v>
      </c>
    </row>
    <row r="44" spans="2:24" ht="15">
      <c r="B44" s="68" t="s">
        <v>4</v>
      </c>
      <c r="C44" s="68" t="s">
        <v>5</v>
      </c>
      <c r="D44" s="68" t="str">
        <f>D25</f>
        <v>O&amp;M_total</v>
      </c>
      <c r="E44" s="68" t="s">
        <v>9</v>
      </c>
      <c r="H44" s="68" t="s">
        <v>4</v>
      </c>
      <c r="I44" s="68" t="s">
        <v>5</v>
      </c>
      <c r="J44" s="68" t="str">
        <f>D44</f>
        <v>O&amp;M_total</v>
      </c>
      <c r="K44" s="68" t="s">
        <v>9</v>
      </c>
    </row>
    <row r="45" spans="2:24">
      <c r="B45" s="2">
        <v>2002</v>
      </c>
      <c r="C45" s="8">
        <f>($G7*$I7)/C26</f>
        <v>2920286.9530897653</v>
      </c>
      <c r="D45" s="8">
        <f t="shared" ref="D45:D55" si="18">($G7*$J7)/D26</f>
        <v>711765.42732499971</v>
      </c>
      <c r="E45" s="8">
        <f t="shared" ref="E45:E55" si="19">($G7)/E26</f>
        <v>3632052.3804147649</v>
      </c>
      <c r="H45" s="2">
        <v>2002</v>
      </c>
      <c r="I45" s="257"/>
      <c r="J45" s="258"/>
      <c r="K45" s="150"/>
    </row>
    <row r="46" spans="2:24">
      <c r="B46" s="2">
        <v>2003</v>
      </c>
      <c r="C46" s="8">
        <f t="shared" ref="C46:C55" si="20">($G8*$I8)/C27</f>
        <v>3780043.9845912494</v>
      </c>
      <c r="D46" s="8">
        <f t="shared" si="18"/>
        <v>728846.12943459791</v>
      </c>
      <c r="E46" s="8">
        <f t="shared" si="19"/>
        <v>4149688.7243155073</v>
      </c>
      <c r="H46" s="2">
        <v>2003</v>
      </c>
      <c r="I46" s="259">
        <f>LN(C46/C45)</f>
        <v>0.25805376264111179</v>
      </c>
      <c r="J46" s="259">
        <f t="shared" ref="J46:K55" si="21">LN(D46/D45)</f>
        <v>2.3714237870452411E-2</v>
      </c>
      <c r="K46" s="259">
        <f>LN(E46/E45)</f>
        <v>0.13323544268505105</v>
      </c>
    </row>
    <row r="47" spans="2:24">
      <c r="B47" s="2">
        <v>2004</v>
      </c>
      <c r="C47" s="8">
        <f t="shared" si="20"/>
        <v>3607290.1589076123</v>
      </c>
      <c r="D47" s="8">
        <f t="shared" si="18"/>
        <v>749597.29880580585</v>
      </c>
      <c r="E47" s="8">
        <f t="shared" si="19"/>
        <v>4194417.5204265835</v>
      </c>
      <c r="F47" s="8"/>
      <c r="H47" s="2">
        <v>2004</v>
      </c>
      <c r="I47" s="259">
        <f t="shared" ref="I47:I55" si="22">LN(C47/C46)</f>
        <v>-4.677880373396142E-2</v>
      </c>
      <c r="J47" s="259">
        <f t="shared" si="21"/>
        <v>2.8073488407924466E-2</v>
      </c>
      <c r="K47" s="259">
        <f t="shared" si="21"/>
        <v>1.0721154126599184E-2</v>
      </c>
    </row>
    <row r="48" spans="2:24">
      <c r="B48" s="2">
        <v>2005</v>
      </c>
      <c r="C48" s="8">
        <f t="shared" si="20"/>
        <v>4599337.5897694184</v>
      </c>
      <c r="D48" s="8">
        <f t="shared" si="18"/>
        <v>771654.48724343569</v>
      </c>
      <c r="E48" s="8">
        <f t="shared" si="19"/>
        <v>5100693.9311427604</v>
      </c>
      <c r="F48" s="8"/>
      <c r="H48" s="2">
        <v>2005</v>
      </c>
      <c r="I48" s="259">
        <f t="shared" si="22"/>
        <v>0.24295544893660739</v>
      </c>
      <c r="J48" s="259">
        <f t="shared" si="21"/>
        <v>2.9000767054235092E-2</v>
      </c>
      <c r="K48" s="259">
        <f t="shared" si="21"/>
        <v>0.19562211603717314</v>
      </c>
    </row>
    <row r="49" spans="2:11">
      <c r="B49" s="2">
        <v>2006</v>
      </c>
      <c r="C49" s="8">
        <f t="shared" si="20"/>
        <v>3725934.9093381371</v>
      </c>
      <c r="D49" s="8">
        <f t="shared" si="18"/>
        <v>794004.60904962849</v>
      </c>
      <c r="E49" s="8">
        <f t="shared" si="19"/>
        <v>4286223.2571731862</v>
      </c>
      <c r="F49" s="8"/>
      <c r="H49" s="2">
        <v>2006</v>
      </c>
      <c r="I49" s="259">
        <f t="shared" si="22"/>
        <v>-0.21059448818832369</v>
      </c>
      <c r="J49" s="259">
        <f t="shared" si="21"/>
        <v>2.855237162086427E-2</v>
      </c>
      <c r="K49" s="259">
        <f t="shared" si="21"/>
        <v>-0.1739706098417326</v>
      </c>
    </row>
    <row r="50" spans="2:11">
      <c r="B50" s="2">
        <v>2007</v>
      </c>
      <c r="C50" s="8">
        <f t="shared" si="20"/>
        <v>3160394.831497062</v>
      </c>
      <c r="D50" s="8">
        <f t="shared" si="18"/>
        <v>818382.8864636817</v>
      </c>
      <c r="E50" s="8">
        <f t="shared" si="19"/>
        <v>4552982.9144572616</v>
      </c>
      <c r="F50" s="8"/>
      <c r="H50" s="2">
        <v>2007</v>
      </c>
      <c r="I50" s="259">
        <f t="shared" si="22"/>
        <v>-0.16462083624344998</v>
      </c>
      <c r="J50" s="259">
        <f t="shared" si="21"/>
        <v>3.0241037371962327E-2</v>
      </c>
      <c r="K50" s="259">
        <f t="shared" si="21"/>
        <v>6.0376618192993774E-2</v>
      </c>
    </row>
    <row r="51" spans="2:11">
      <c r="B51" s="2">
        <v>2008</v>
      </c>
      <c r="C51" s="8">
        <f t="shared" si="20"/>
        <v>3990812.4508612351</v>
      </c>
      <c r="D51" s="8">
        <f t="shared" si="18"/>
        <v>840308.15095345734</v>
      </c>
      <c r="E51" s="8">
        <f t="shared" si="19"/>
        <v>5313721.3958284082</v>
      </c>
      <c r="F51" s="8"/>
      <c r="H51" s="2">
        <v>2008</v>
      </c>
      <c r="I51" s="259">
        <f t="shared" si="22"/>
        <v>0.23329786547348597</v>
      </c>
      <c r="J51" s="259">
        <f t="shared" si="21"/>
        <v>2.6438367488195343E-2</v>
      </c>
      <c r="K51" s="259">
        <f t="shared" si="21"/>
        <v>0.15450981387282001</v>
      </c>
    </row>
    <row r="52" spans="2:11">
      <c r="B52" s="2">
        <v>2009</v>
      </c>
      <c r="C52" s="8">
        <f t="shared" si="20"/>
        <v>2502732.0434252797</v>
      </c>
      <c r="D52" s="8">
        <f t="shared" si="18"/>
        <v>856488.55930000427</v>
      </c>
      <c r="E52" s="8">
        <f t="shared" si="19"/>
        <v>3377968.8851500889</v>
      </c>
      <c r="F52" s="8"/>
      <c r="H52" s="2">
        <v>2009</v>
      </c>
      <c r="I52" s="259">
        <f t="shared" si="22"/>
        <v>-0.4666118793893656</v>
      </c>
      <c r="J52" s="259">
        <f t="shared" si="21"/>
        <v>1.9072289234664176E-2</v>
      </c>
      <c r="K52" s="259">
        <f t="shared" si="21"/>
        <v>-0.45301781031234339</v>
      </c>
    </row>
    <row r="53" spans="2:11">
      <c r="B53" s="2">
        <v>2010</v>
      </c>
      <c r="C53" s="8">
        <f t="shared" si="20"/>
        <v>2334647.7408314277</v>
      </c>
      <c r="D53" s="8">
        <f t="shared" si="18"/>
        <v>874759.53794537846</v>
      </c>
      <c r="E53" s="8">
        <f t="shared" si="19"/>
        <v>3454223.3678364125</v>
      </c>
      <c r="F53" s="8"/>
      <c r="H53" s="2">
        <v>2010</v>
      </c>
      <c r="I53" s="259">
        <f t="shared" si="22"/>
        <v>-6.9521933271396302E-2</v>
      </c>
      <c r="J53" s="259">
        <f t="shared" si="21"/>
        <v>2.1108074639170658E-2</v>
      </c>
      <c r="K53" s="259">
        <f t="shared" si="21"/>
        <v>2.2323039639024635E-2</v>
      </c>
    </row>
    <row r="54" spans="2:11">
      <c r="B54" s="2">
        <v>2011</v>
      </c>
      <c r="C54" s="8">
        <f t="shared" si="20"/>
        <v>2256683.6769655705</v>
      </c>
      <c r="D54" s="8">
        <f t="shared" si="18"/>
        <v>895297.94051412295</v>
      </c>
      <c r="E54" s="8">
        <f t="shared" si="19"/>
        <v>3184859.6890935828</v>
      </c>
      <c r="F54" s="8"/>
      <c r="H54" s="2">
        <v>2011</v>
      </c>
      <c r="I54" s="259">
        <f t="shared" si="22"/>
        <v>-3.3964683256351637E-2</v>
      </c>
      <c r="J54" s="259">
        <f t="shared" si="21"/>
        <v>2.3207522494307953E-2</v>
      </c>
      <c r="K54" s="259">
        <f t="shared" si="21"/>
        <v>-8.118941256105236E-2</v>
      </c>
    </row>
    <row r="55" spans="2:11">
      <c r="B55" s="2">
        <v>2012</v>
      </c>
      <c r="C55" s="8">
        <f t="shared" si="20"/>
        <v>1333845.4774268284</v>
      </c>
      <c r="D55" s="8">
        <f t="shared" si="18"/>
        <v>913937.71263097774</v>
      </c>
      <c r="E55" s="8">
        <f t="shared" si="19"/>
        <v>2721352.8265606244</v>
      </c>
      <c r="F55" s="8"/>
      <c r="H55" s="2">
        <v>2012</v>
      </c>
      <c r="I55" s="259">
        <f t="shared" si="22"/>
        <v>-0.52583022925501066</v>
      </c>
      <c r="J55" s="259">
        <f t="shared" si="21"/>
        <v>2.0605863718824696E-2</v>
      </c>
      <c r="K55" s="259">
        <f t="shared" si="21"/>
        <v>-0.15727911502376737</v>
      </c>
    </row>
    <row r="56" spans="2:11">
      <c r="B56" s="2">
        <v>2013</v>
      </c>
      <c r="C56" s="8">
        <f t="shared" ref="C56:C57" si="23">($G18*$I18)/C37</f>
        <v>2191412.9957744284</v>
      </c>
      <c r="D56" s="8">
        <f t="shared" ref="D56:D57" si="24">($G18*$J18)/D37</f>
        <v>933948.61421841476</v>
      </c>
      <c r="E56" s="8">
        <f t="shared" ref="E56:E57" si="25">($G18)/E37</f>
        <v>3554477.3009971301</v>
      </c>
      <c r="F56" s="8"/>
      <c r="H56" s="2">
        <v>2013</v>
      </c>
      <c r="I56" s="259">
        <f t="shared" ref="I56:I57" si="26">LN(C56/C55)</f>
        <v>0.4964804325527708</v>
      </c>
      <c r="J56" s="259">
        <f t="shared" ref="J56:J57" si="27">LN(D56/D55)</f>
        <v>2.1658998792774373E-2</v>
      </c>
      <c r="K56" s="259">
        <f t="shared" ref="K56:K57" si="28">LN(E56/E55)</f>
        <v>0.2670789010064295</v>
      </c>
    </row>
    <row r="57" spans="2:11">
      <c r="B57" s="2">
        <v>2014</v>
      </c>
      <c r="C57" s="8">
        <f t="shared" si="23"/>
        <v>2438415.5457244408</v>
      </c>
      <c r="D57" s="8">
        <f t="shared" si="24"/>
        <v>956116.33145863155</v>
      </c>
      <c r="E57" s="8">
        <f t="shared" si="25"/>
        <v>3988165.6085744663</v>
      </c>
      <c r="F57" s="8"/>
      <c r="H57" s="2">
        <v>2014</v>
      </c>
      <c r="I57" s="259">
        <f t="shared" si="26"/>
        <v>0.1068019225449322</v>
      </c>
      <c r="J57" s="259">
        <f t="shared" si="27"/>
        <v>2.3458171455904175E-2</v>
      </c>
      <c r="K57" s="259">
        <f t="shared" si="28"/>
        <v>0.11512335758455719</v>
      </c>
    </row>
    <row r="58" spans="2:11" ht="15">
      <c r="B58" s="2"/>
      <c r="C58" s="6"/>
      <c r="D58" s="7"/>
      <c r="H58" s="88" t="s">
        <v>96</v>
      </c>
      <c r="I58" s="260">
        <f>AVERAGE(I46:I57)</f>
        <v>-1.5027785099079252E-2</v>
      </c>
      <c r="J58" s="260">
        <f>AVERAGE(J46:J57)</f>
        <v>2.459426584577333E-2</v>
      </c>
      <c r="K58" s="260">
        <f>AVERAGE(K46:K57)</f>
        <v>7.7944579504793969E-3</v>
      </c>
    </row>
    <row r="59" spans="2:11">
      <c r="B59" s="2"/>
      <c r="C59" s="6"/>
      <c r="D59" s="6"/>
      <c r="E59" s="7"/>
    </row>
    <row r="60" spans="2:11" ht="15">
      <c r="B60" s="264" t="s">
        <v>269</v>
      </c>
      <c r="C60" s="263"/>
      <c r="D60" s="263"/>
      <c r="E60" s="263"/>
      <c r="F60" s="263"/>
      <c r="G60" s="263"/>
      <c r="H60" s="263"/>
      <c r="I60" s="263"/>
      <c r="J60" s="263"/>
      <c r="K60" s="263"/>
    </row>
    <row r="61" spans="2:11" ht="15">
      <c r="B61" s="67" t="s">
        <v>11</v>
      </c>
      <c r="C61" s="79"/>
      <c r="D61" s="79"/>
      <c r="E61" s="79"/>
      <c r="F61" s="79"/>
      <c r="G61" s="79"/>
      <c r="H61" s="79"/>
    </row>
    <row r="62" spans="2:11" ht="15">
      <c r="B62" s="67"/>
      <c r="C62" s="68" t="s">
        <v>12</v>
      </c>
      <c r="D62" s="68" t="s">
        <v>12</v>
      </c>
      <c r="E62" s="68" t="s">
        <v>13</v>
      </c>
      <c r="F62" s="68" t="s">
        <v>13</v>
      </c>
      <c r="G62" s="68" t="s">
        <v>14</v>
      </c>
      <c r="H62" s="68" t="s">
        <v>14</v>
      </c>
    </row>
    <row r="63" spans="2:11" ht="15">
      <c r="B63" s="68" t="s">
        <v>4</v>
      </c>
      <c r="C63" s="68" t="s">
        <v>7</v>
      </c>
      <c r="D63" s="68" t="s">
        <v>8</v>
      </c>
      <c r="E63" s="68" t="s">
        <v>7</v>
      </c>
      <c r="F63" s="68" t="s">
        <v>8</v>
      </c>
      <c r="G63" s="68" t="s">
        <v>7</v>
      </c>
      <c r="H63" s="68" t="s">
        <v>8</v>
      </c>
      <c r="K63" s="107"/>
    </row>
    <row r="64" spans="2:11">
      <c r="B64" s="2">
        <v>2002</v>
      </c>
      <c r="C64" s="2"/>
      <c r="D64" s="2"/>
      <c r="E64" s="2"/>
      <c r="F64" s="2"/>
      <c r="G64" s="2"/>
      <c r="H64" s="2"/>
    </row>
    <row r="65" spans="2:11">
      <c r="B65" s="2">
        <v>2003</v>
      </c>
      <c r="C65" s="6">
        <f t="shared" ref="C65:C76" si="29">SUMPRODUCT(C45:D45,C27:D27)/SUMPRODUCT(C45:D45,C26:D26)</f>
        <v>1.0289530178999924</v>
      </c>
      <c r="D65" s="6">
        <f t="shared" ref="D65:D74" si="30">SUMPRODUCT(E45:F45*E27:F27)/SUMPRODUCT(E45:F45*E26:F26)</f>
        <v>1.1150384329363758</v>
      </c>
      <c r="E65" s="6">
        <f t="shared" ref="E65:E74" si="31">SUMPRODUCT(C46:D46,C27:D27)/SUMPRODUCT(C46:D46,C26:D26)</f>
        <v>1.0262087332625529</v>
      </c>
      <c r="F65" s="6">
        <f t="shared" ref="F65:F74" si="32">SUMPRODUCT(E46:F46,E27:F27)/SUMPRODUCT(E46:F46,E26:F26)</f>
        <v>1.1150384329363758</v>
      </c>
      <c r="G65" s="9">
        <f t="shared" ref="G65:H74" si="33">(C65*E65)^0.5</f>
        <v>1.0275799594609814</v>
      </c>
      <c r="H65" s="9">
        <f t="shared" si="33"/>
        <v>1.1150384329363758</v>
      </c>
    </row>
    <row r="66" spans="2:11">
      <c r="B66" s="2">
        <v>2004</v>
      </c>
      <c r="C66" s="6">
        <f t="shared" si="29"/>
        <v>1.0008629919446714</v>
      </c>
      <c r="D66" s="6">
        <f t="shared" si="30"/>
        <v>0.95760164890693944</v>
      </c>
      <c r="E66" s="6">
        <f t="shared" si="31"/>
        <v>1.0008810662612373</v>
      </c>
      <c r="F66" s="6">
        <f t="shared" si="32"/>
        <v>0.95760164890693966</v>
      </c>
      <c r="G66" s="9">
        <f t="shared" si="33"/>
        <v>1.0008720290621549</v>
      </c>
      <c r="H66" s="9">
        <f t="shared" si="33"/>
        <v>0.95760164890693955</v>
      </c>
    </row>
    <row r="67" spans="2:11">
      <c r="B67" s="2">
        <v>2005</v>
      </c>
      <c r="C67" s="6">
        <f t="shared" si="29"/>
        <v>1.0057412998922548</v>
      </c>
      <c r="D67" s="6">
        <f t="shared" si="30"/>
        <v>1.0164985126891275</v>
      </c>
      <c r="E67" s="6">
        <f t="shared" si="31"/>
        <v>1.0050048739637827</v>
      </c>
      <c r="F67" s="6">
        <f t="shared" si="32"/>
        <v>1.0164985126891275</v>
      </c>
      <c r="G67" s="9">
        <f t="shared" si="33"/>
        <v>1.00537301949992</v>
      </c>
      <c r="H67" s="9">
        <f t="shared" si="33"/>
        <v>1.0164985126891275</v>
      </c>
    </row>
    <row r="68" spans="2:11">
      <c r="B68" s="2">
        <v>2006</v>
      </c>
      <c r="C68" s="6">
        <f t="shared" si="29"/>
        <v>1.0062223144163771</v>
      </c>
      <c r="D68" s="6">
        <f t="shared" si="30"/>
        <v>1.01179758063606</v>
      </c>
      <c r="E68" s="6">
        <f t="shared" si="31"/>
        <v>1.0069211444195563</v>
      </c>
      <c r="F68" s="6">
        <f t="shared" si="32"/>
        <v>1.01179758063606</v>
      </c>
      <c r="G68" s="9">
        <f t="shared" si="33"/>
        <v>1.0065716687710979</v>
      </c>
      <c r="H68" s="9">
        <f t="shared" si="33"/>
        <v>1.01179758063606</v>
      </c>
    </row>
    <row r="69" spans="2:11">
      <c r="B69" s="2">
        <v>2007</v>
      </c>
      <c r="C69" s="6">
        <f t="shared" si="29"/>
        <v>0.99999682860293782</v>
      </c>
      <c r="D69" s="6">
        <f t="shared" si="30"/>
        <v>0.83373957100083307</v>
      </c>
      <c r="E69" s="6">
        <f t="shared" si="31"/>
        <v>1.0022663611452973</v>
      </c>
      <c r="F69" s="6">
        <f t="shared" si="32"/>
        <v>0.83373957100083318</v>
      </c>
      <c r="G69" s="9">
        <f t="shared" si="33"/>
        <v>1.0011309517544167</v>
      </c>
      <c r="H69" s="9">
        <f t="shared" si="33"/>
        <v>0.83373957100083318</v>
      </c>
    </row>
    <row r="70" spans="2:11">
      <c r="B70" s="2">
        <v>2008</v>
      </c>
      <c r="C70" s="6">
        <f t="shared" si="29"/>
        <v>1.0211536177158702</v>
      </c>
      <c r="D70" s="6">
        <f t="shared" si="30"/>
        <v>1.0536833656283426</v>
      </c>
      <c r="E70" s="6">
        <f t="shared" si="31"/>
        <v>1.0193025249843386</v>
      </c>
      <c r="F70" s="6">
        <f t="shared" si="32"/>
        <v>1.0536833656283429</v>
      </c>
      <c r="G70" s="9">
        <f t="shared" si="33"/>
        <v>1.0202276515242461</v>
      </c>
      <c r="H70" s="9">
        <f t="shared" si="33"/>
        <v>1.0536833656283429</v>
      </c>
    </row>
    <row r="71" spans="2:11">
      <c r="B71" s="2">
        <v>2009</v>
      </c>
      <c r="C71" s="6">
        <f t="shared" si="29"/>
        <v>0.99426432095074158</v>
      </c>
      <c r="D71" s="6">
        <f t="shared" si="30"/>
        <v>1.107554133872527</v>
      </c>
      <c r="E71" s="6">
        <f t="shared" si="31"/>
        <v>0.99165725777078273</v>
      </c>
      <c r="F71" s="6">
        <f t="shared" si="32"/>
        <v>1.1075541338725272</v>
      </c>
      <c r="G71" s="9">
        <f t="shared" si="33"/>
        <v>0.99295993374019975</v>
      </c>
      <c r="H71" s="9">
        <f t="shared" si="33"/>
        <v>1.1075541338725272</v>
      </c>
    </row>
    <row r="72" spans="2:11">
      <c r="B72" s="2">
        <v>2010</v>
      </c>
      <c r="C72" s="6">
        <f t="shared" si="29"/>
        <v>1.0152365784669317</v>
      </c>
      <c r="D72" s="6">
        <f t="shared" si="30"/>
        <v>0.95320766913251587</v>
      </c>
      <c r="E72" s="6">
        <f t="shared" si="31"/>
        <v>1.016232792131557</v>
      </c>
      <c r="F72" s="6">
        <f t="shared" si="32"/>
        <v>0.95320766913251576</v>
      </c>
      <c r="G72" s="9">
        <f t="shared" si="33"/>
        <v>1.0157345631657606</v>
      </c>
      <c r="H72" s="9">
        <f t="shared" si="33"/>
        <v>0.95320766913251587</v>
      </c>
    </row>
    <row r="73" spans="2:11">
      <c r="B73" s="2">
        <v>2011</v>
      </c>
      <c r="C73" s="6">
        <f t="shared" si="29"/>
        <v>0.98653022235076182</v>
      </c>
      <c r="D73" s="6">
        <f t="shared" si="30"/>
        <v>1.0539443531284665</v>
      </c>
      <c r="E73" s="6">
        <f t="shared" si="31"/>
        <v>0.98631394395464933</v>
      </c>
      <c r="F73" s="6">
        <f t="shared" si="32"/>
        <v>1.0539443531284665</v>
      </c>
      <c r="G73" s="9">
        <f t="shared" si="33"/>
        <v>0.98642207722517905</v>
      </c>
      <c r="H73" s="9">
        <f t="shared" si="33"/>
        <v>1.0539443531284665</v>
      </c>
    </row>
    <row r="74" spans="2:11">
      <c r="B74" s="2">
        <v>2012</v>
      </c>
      <c r="C74" s="6">
        <f t="shared" si="29"/>
        <v>1.0042674530732061</v>
      </c>
      <c r="D74" s="6">
        <f t="shared" si="30"/>
        <v>0.86572280352604758</v>
      </c>
      <c r="E74" s="6">
        <f t="shared" si="31"/>
        <v>1.0055055793530965</v>
      </c>
      <c r="F74" s="6">
        <f t="shared" si="32"/>
        <v>0.8657228035260478</v>
      </c>
      <c r="G74" s="9">
        <f t="shared" si="33"/>
        <v>1.0048863255253464</v>
      </c>
      <c r="H74" s="9">
        <f t="shared" si="33"/>
        <v>0.86572280352604769</v>
      </c>
    </row>
    <row r="75" spans="2:11">
      <c r="B75" s="2">
        <v>2013</v>
      </c>
      <c r="C75" s="6">
        <f t="shared" si="29"/>
        <v>0.98298076045879312</v>
      </c>
      <c r="D75" s="6">
        <f t="shared" ref="D75:D76" si="34">SUMPRODUCT(E55:F55*E37:F37)/SUMPRODUCT(E55:F55*E36:F36)</f>
        <v>1.0205651082999612</v>
      </c>
      <c r="E75" s="6">
        <f t="shared" ref="E75:E76" si="35">SUMPRODUCT(C56:D56,C37:D37)/SUMPRODUCT(C56:D56,C36:D36)</f>
        <v>0.98632300201133816</v>
      </c>
      <c r="F75" s="6">
        <f t="shared" ref="F75:F76" si="36">SUMPRODUCT(E56:F56,E37:F37)/SUMPRODUCT(E56:F56,E36:F36)</f>
        <v>1.0205651082999612</v>
      </c>
      <c r="G75" s="9">
        <f t="shared" ref="G75:G76" si="37">(C75*E75)^0.5</f>
        <v>0.98465046314674776</v>
      </c>
      <c r="H75" s="9">
        <f t="shared" ref="H75:H76" si="38">(D75*F75)^0.5</f>
        <v>1.0205651082999612</v>
      </c>
    </row>
    <row r="76" spans="2:11">
      <c r="B76" s="2">
        <v>2014</v>
      </c>
      <c r="C76" s="6">
        <f t="shared" si="29"/>
        <v>1.0040059026642363</v>
      </c>
      <c r="D76" s="6">
        <f t="shared" si="34"/>
        <v>0.96802636353787719</v>
      </c>
      <c r="E76" s="6">
        <f t="shared" si="35"/>
        <v>1.0040608832784663</v>
      </c>
      <c r="F76" s="6">
        <f t="shared" si="36"/>
        <v>0.9680263635378773</v>
      </c>
      <c r="G76" s="9">
        <f t="shared" si="37"/>
        <v>1.0040333925950107</v>
      </c>
      <c r="H76" s="9">
        <f t="shared" si="38"/>
        <v>0.9680263635378773</v>
      </c>
    </row>
    <row r="78" spans="2:11" ht="15.75" thickBot="1">
      <c r="B78" s="262" t="s">
        <v>268</v>
      </c>
      <c r="C78" s="261"/>
      <c r="D78" s="261"/>
      <c r="E78" s="261"/>
      <c r="F78" s="261"/>
      <c r="G78" s="261"/>
      <c r="H78" s="261"/>
      <c r="I78" s="261"/>
      <c r="J78" s="261"/>
      <c r="K78" s="261"/>
    </row>
    <row r="79" spans="2:11" ht="15">
      <c r="B79" s="67" t="s">
        <v>15</v>
      </c>
      <c r="C79" s="79"/>
      <c r="D79" s="79"/>
      <c r="E79" s="79"/>
      <c r="F79" s="79"/>
      <c r="G79" s="89"/>
      <c r="H79" s="90"/>
      <c r="I79" s="90"/>
      <c r="J79" s="91"/>
    </row>
    <row r="80" spans="2:11" ht="15">
      <c r="B80" s="67"/>
      <c r="C80" s="68" t="s">
        <v>12</v>
      </c>
      <c r="D80" s="68" t="s">
        <v>12</v>
      </c>
      <c r="E80" s="68" t="s">
        <v>13</v>
      </c>
      <c r="F80" s="68" t="s">
        <v>13</v>
      </c>
      <c r="G80" s="92" t="s">
        <v>14</v>
      </c>
      <c r="H80" s="83" t="s">
        <v>14</v>
      </c>
      <c r="I80" s="83" t="s">
        <v>16</v>
      </c>
      <c r="J80" s="93" t="s">
        <v>16</v>
      </c>
    </row>
    <row r="81" spans="2:24" ht="15">
      <c r="B81" s="68" t="s">
        <v>4</v>
      </c>
      <c r="C81" s="68" t="s">
        <v>7</v>
      </c>
      <c r="D81" s="68" t="s">
        <v>8</v>
      </c>
      <c r="E81" s="68" t="s">
        <v>7</v>
      </c>
      <c r="F81" s="68" t="s">
        <v>8</v>
      </c>
      <c r="G81" s="92" t="s">
        <v>7</v>
      </c>
      <c r="H81" s="83" t="s">
        <v>8</v>
      </c>
      <c r="I81" s="83" t="s">
        <v>15</v>
      </c>
      <c r="J81" s="93" t="s">
        <v>17</v>
      </c>
    </row>
    <row r="82" spans="2:24">
      <c r="B82" s="2">
        <v>2002</v>
      </c>
      <c r="C82" s="6">
        <v>1</v>
      </c>
      <c r="D82" s="6">
        <v>1</v>
      </c>
      <c r="E82" s="6">
        <v>1</v>
      </c>
      <c r="F82" s="6">
        <v>1</v>
      </c>
      <c r="G82" s="10">
        <v>1</v>
      </c>
      <c r="H82" s="11">
        <v>1</v>
      </c>
      <c r="I82" s="11">
        <f>H82/G82</f>
        <v>1</v>
      </c>
      <c r="J82" s="267"/>
    </row>
    <row r="83" spans="2:24">
      <c r="B83" s="2">
        <v>2003</v>
      </c>
      <c r="C83" s="6">
        <f t="shared" ref="C83:C92" si="39">C82*C65</f>
        <v>1.0289530178999924</v>
      </c>
      <c r="D83" s="6">
        <f t="shared" ref="D83:D92" si="40">D82*D65</f>
        <v>1.1150384329363758</v>
      </c>
      <c r="E83" s="6">
        <f t="shared" ref="E83:E92" si="41">E82*E65</f>
        <v>1.0262087332625529</v>
      </c>
      <c r="F83" s="6">
        <f t="shared" ref="F83:F92" si="42">F82*F65</f>
        <v>1.1150384329363758</v>
      </c>
      <c r="G83" s="10">
        <f t="shared" ref="G83:G92" si="43">G82*G65</f>
        <v>1.0275799594609814</v>
      </c>
      <c r="H83" s="11">
        <f t="shared" ref="H83:H92" si="44">H82*H65</f>
        <v>1.1150384329363758</v>
      </c>
      <c r="I83" s="11">
        <f>H83/G83</f>
        <v>1.0851111124444963</v>
      </c>
      <c r="J83" s="268">
        <f>LN(I83/I82)</f>
        <v>8.1682389532049746E-2</v>
      </c>
    </row>
    <row r="84" spans="2:24">
      <c r="B84" s="2">
        <v>2004</v>
      </c>
      <c r="C84" s="6">
        <f t="shared" si="39"/>
        <v>1.0298409960658854</v>
      </c>
      <c r="D84" s="6">
        <f t="shared" si="40"/>
        <v>1.0677626419744832</v>
      </c>
      <c r="E84" s="6">
        <f t="shared" si="41"/>
        <v>1.0271128911544176</v>
      </c>
      <c r="F84" s="6">
        <f t="shared" si="42"/>
        <v>1.0677626419744835</v>
      </c>
      <c r="G84" s="10">
        <f t="shared" si="43"/>
        <v>1.0284760390493193</v>
      </c>
      <c r="H84" s="11">
        <f t="shared" si="44"/>
        <v>1.0677626419744835</v>
      </c>
      <c r="I84" s="11">
        <f t="shared" ref="I84:I92" si="45">H84/G84</f>
        <v>1.0381988509537656</v>
      </c>
      <c r="J84" s="268">
        <f t="shared" ref="J84:J92" si="46">LN(I84/I83)</f>
        <v>-4.41950518893785E-2</v>
      </c>
    </row>
    <row r="85" spans="2:24">
      <c r="B85" s="2">
        <v>2005</v>
      </c>
      <c r="C85" s="6">
        <f t="shared" si="39"/>
        <v>1.035753622065638</v>
      </c>
      <c r="D85" s="6">
        <f t="shared" si="40"/>
        <v>1.0853791374720756</v>
      </c>
      <c r="E85" s="6">
        <f t="shared" si="41"/>
        <v>1.032253461721222</v>
      </c>
      <c r="F85" s="6">
        <f t="shared" si="42"/>
        <v>1.0853791374720758</v>
      </c>
      <c r="G85" s="10">
        <f t="shared" si="43"/>
        <v>1.0340020608623317</v>
      </c>
      <c r="H85" s="11">
        <f t="shared" si="44"/>
        <v>1.0853791374720758</v>
      </c>
      <c r="I85" s="11">
        <f t="shared" si="45"/>
        <v>1.0496875959482102</v>
      </c>
      <c r="J85" s="268">
        <f t="shared" si="46"/>
        <v>1.1005254588251474E-2</v>
      </c>
    </row>
    <row r="86" spans="2:24">
      <c r="B86" s="2">
        <v>2006</v>
      </c>
      <c r="C86" s="6">
        <f t="shared" si="39"/>
        <v>1.0421984067600318</v>
      </c>
      <c r="D86" s="6">
        <f t="shared" si="40"/>
        <v>1.0981839853670996</v>
      </c>
      <c r="E86" s="6">
        <f t="shared" si="41"/>
        <v>1.0393978370073815</v>
      </c>
      <c r="F86" s="6">
        <f t="shared" si="42"/>
        <v>1.0981839853670998</v>
      </c>
      <c r="G86" s="10">
        <f t="shared" si="43"/>
        <v>1.0407971799149516</v>
      </c>
      <c r="H86" s="11">
        <f t="shared" si="44"/>
        <v>1.0981839853670998</v>
      </c>
      <c r="I86" s="11">
        <f t="shared" si="45"/>
        <v>1.0551373567872633</v>
      </c>
      <c r="J86" s="268">
        <f t="shared" si="46"/>
        <v>5.1783622292272766E-3</v>
      </c>
    </row>
    <row r="87" spans="2:24">
      <c r="B87" s="2">
        <v>2007</v>
      </c>
      <c r="C87" s="6">
        <f t="shared" si="39"/>
        <v>1.0421951015350663</v>
      </c>
      <c r="D87" s="6">
        <f t="shared" si="40"/>
        <v>0.91559944483995082</v>
      </c>
      <c r="E87" s="6">
        <f t="shared" si="41"/>
        <v>1.0417534878796813</v>
      </c>
      <c r="F87" s="6">
        <f t="shared" si="42"/>
        <v>0.91559944483995104</v>
      </c>
      <c r="G87" s="10">
        <f t="shared" si="43"/>
        <v>1.0419742713115683</v>
      </c>
      <c r="H87" s="11">
        <f t="shared" si="44"/>
        <v>0.91559944483995104</v>
      </c>
      <c r="I87" s="11">
        <f t="shared" si="45"/>
        <v>0.87871598181350008</v>
      </c>
      <c r="J87" s="268">
        <f t="shared" si="46"/>
        <v>-0.18296450308551837</v>
      </c>
    </row>
    <row r="88" spans="2:24">
      <c r="B88" s="2">
        <v>2008</v>
      </c>
      <c r="C88" s="6">
        <f t="shared" si="39"/>
        <v>1.0642412982982916</v>
      </c>
      <c r="D88" s="6">
        <f t="shared" si="40"/>
        <v>0.96475190460640148</v>
      </c>
      <c r="E88" s="6">
        <f t="shared" si="41"/>
        <v>1.0618619606070008</v>
      </c>
      <c r="F88" s="6">
        <f t="shared" si="42"/>
        <v>0.96475190460640192</v>
      </c>
      <c r="G88" s="10">
        <f t="shared" si="43"/>
        <v>1.063050963768889</v>
      </c>
      <c r="H88" s="11">
        <f t="shared" si="44"/>
        <v>0.96475190460640192</v>
      </c>
      <c r="I88" s="11">
        <f t="shared" si="45"/>
        <v>0.90753118851989711</v>
      </c>
      <c r="J88" s="268">
        <f t="shared" si="46"/>
        <v>3.2266202706725929E-2</v>
      </c>
    </row>
    <row r="89" spans="2:24">
      <c r="B89" s="2">
        <v>2009</v>
      </c>
      <c r="C89" s="6">
        <f t="shared" si="39"/>
        <v>1.0581371517802864</v>
      </c>
      <c r="D89" s="6">
        <f t="shared" si="40"/>
        <v>1.0685149601082138</v>
      </c>
      <c r="E89" s="6">
        <f t="shared" si="41"/>
        <v>1.0530031199866452</v>
      </c>
      <c r="F89" s="6">
        <f t="shared" si="42"/>
        <v>1.0685149601082145</v>
      </c>
      <c r="G89" s="10">
        <f t="shared" si="43"/>
        <v>1.0555670145464116</v>
      </c>
      <c r="H89" s="11">
        <f t="shared" si="44"/>
        <v>1.0685149601082145</v>
      </c>
      <c r="I89" s="11">
        <f t="shared" si="45"/>
        <v>1.0122663415807538</v>
      </c>
      <c r="J89" s="268">
        <f t="shared" si="46"/>
        <v>0.10921906553743739</v>
      </c>
    </row>
    <row r="90" spans="2:24">
      <c r="B90" s="2">
        <v>2010</v>
      </c>
      <c r="C90" s="6">
        <f t="shared" si="39"/>
        <v>1.0742595415221625</v>
      </c>
      <c r="D90" s="6">
        <f t="shared" si="40"/>
        <v>1.0185166545579736</v>
      </c>
      <c r="E90" s="6">
        <f t="shared" si="41"/>
        <v>1.0700963007472695</v>
      </c>
      <c r="F90" s="6">
        <f t="shared" si="42"/>
        <v>1.0185166545579742</v>
      </c>
      <c r="G90" s="10">
        <f t="shared" si="43"/>
        <v>1.0721759004124853</v>
      </c>
      <c r="H90" s="11">
        <f t="shared" si="44"/>
        <v>1.0185166545579742</v>
      </c>
      <c r="I90" s="11">
        <f t="shared" si="45"/>
        <v>0.94995294537597108</v>
      </c>
      <c r="J90" s="268">
        <f>LN(I90/I89)</f>
        <v>-6.3534546416243273E-2</v>
      </c>
    </row>
    <row r="91" spans="2:24">
      <c r="B91" s="2">
        <v>2011</v>
      </c>
      <c r="C91" s="6">
        <f t="shared" si="39"/>
        <v>1.0597895043602865</v>
      </c>
      <c r="D91" s="6">
        <f t="shared" si="40"/>
        <v>1.0734598766386731</v>
      </c>
      <c r="E91" s="6">
        <f t="shared" si="41"/>
        <v>1.0554509028013199</v>
      </c>
      <c r="F91" s="6">
        <f t="shared" si="42"/>
        <v>1.0734598766386738</v>
      </c>
      <c r="G91" s="10">
        <f t="shared" si="43"/>
        <v>1.0576179788356606</v>
      </c>
      <c r="H91" s="11">
        <f t="shared" si="44"/>
        <v>1.0734598766386738</v>
      </c>
      <c r="I91" s="11">
        <f t="shared" si="45"/>
        <v>1.0149788469182925</v>
      </c>
      <c r="J91" s="268">
        <f t="shared" si="46"/>
        <v>6.6210598599444795E-2</v>
      </c>
    </row>
    <row r="92" spans="2:24">
      <c r="B92" s="357">
        <v>2012</v>
      </c>
      <c r="C92" s="11">
        <f t="shared" si="39"/>
        <v>1.0643121063376204</v>
      </c>
      <c r="D92" s="11">
        <f t="shared" si="40"/>
        <v>0.92931869387635735</v>
      </c>
      <c r="E92" s="11">
        <f t="shared" si="41"/>
        <v>1.0612617714999899</v>
      </c>
      <c r="F92" s="11">
        <f t="shared" si="42"/>
        <v>0.92931869387635813</v>
      </c>
      <c r="G92" s="10">
        <f t="shared" si="43"/>
        <v>1.0627858445617104</v>
      </c>
      <c r="H92" s="11">
        <f t="shared" si="44"/>
        <v>0.92931869387635802</v>
      </c>
      <c r="I92" s="11">
        <f t="shared" si="45"/>
        <v>0.87441764362189656</v>
      </c>
      <c r="J92" s="268">
        <f t="shared" si="46"/>
        <v>-0.14906493614974073</v>
      </c>
    </row>
    <row r="93" spans="2:24">
      <c r="B93" s="357">
        <v>2013</v>
      </c>
      <c r="C93" s="11">
        <f t="shared" ref="C93:H93" si="47">C92*C75</f>
        <v>1.0461983236532539</v>
      </c>
      <c r="D93" s="11">
        <f t="shared" si="47"/>
        <v>0.94843023346110311</v>
      </c>
      <c r="E93" s="11">
        <f t="shared" si="47"/>
        <v>1.0467468963857409</v>
      </c>
      <c r="F93" s="11">
        <f t="shared" si="47"/>
        <v>0.94843023346110389</v>
      </c>
      <c r="G93" s="10">
        <f t="shared" si="47"/>
        <v>1.0464725740734957</v>
      </c>
      <c r="H93" s="11">
        <f t="shared" si="47"/>
        <v>0.94843023346110378</v>
      </c>
      <c r="I93" s="11">
        <f t="shared" ref="I93:I94" si="48">H93/G93</f>
        <v>0.9063116004743893</v>
      </c>
      <c r="J93" s="268">
        <f t="shared" ref="J93:J94" si="49">LN(I93/I92)</f>
        <v>3.5825062161693483E-2</v>
      </c>
      <c r="L93" s="385"/>
      <c r="N93" s="146"/>
    </row>
    <row r="94" spans="2:24" ht="14.25" thickBot="1">
      <c r="B94" s="357">
        <v>2014</v>
      </c>
      <c r="C94" s="11">
        <f t="shared" ref="C94:H94" si="50">C93*C76</f>
        <v>1.050389292305296</v>
      </c>
      <c r="D94" s="11">
        <f t="shared" si="50"/>
        <v>0.91810546996673148</v>
      </c>
      <c r="E94" s="11">
        <f t="shared" si="50"/>
        <v>1.0509976133540604</v>
      </c>
      <c r="F94" s="11">
        <f t="shared" si="50"/>
        <v>0.91810546996673237</v>
      </c>
      <c r="G94" s="12">
        <f t="shared" si="50"/>
        <v>1.0506934088046456</v>
      </c>
      <c r="H94" s="13">
        <f t="shared" si="50"/>
        <v>0.91810546996673226</v>
      </c>
      <c r="I94" s="13">
        <f t="shared" si="48"/>
        <v>0.8738091076551473</v>
      </c>
      <c r="J94" s="269">
        <f t="shared" si="49"/>
        <v>-3.6521237289871271E-2</v>
      </c>
    </row>
    <row r="95" spans="2:24">
      <c r="L95" s="146"/>
      <c r="M95" s="146"/>
      <c r="N95" s="146"/>
      <c r="O95" s="146"/>
      <c r="P95" s="146"/>
      <c r="Q95" s="146"/>
      <c r="R95" s="146"/>
      <c r="S95" s="146"/>
      <c r="T95" s="146"/>
    </row>
    <row r="96" spans="2:24" s="360" customFormat="1" ht="15.75" thickBot="1">
      <c r="B96" s="266" t="s">
        <v>272</v>
      </c>
      <c r="C96" s="265"/>
      <c r="D96" s="265"/>
      <c r="E96" s="265"/>
      <c r="F96" s="265"/>
      <c r="G96" s="265"/>
      <c r="H96" s="265"/>
      <c r="I96" s="265"/>
      <c r="J96" s="277"/>
      <c r="K96" s="277"/>
      <c r="L96" s="409"/>
      <c r="M96" s="409"/>
      <c r="N96" s="409"/>
      <c r="O96" s="409"/>
      <c r="P96" s="409"/>
      <c r="Q96" s="409"/>
      <c r="R96" s="409"/>
      <c r="S96" s="409"/>
      <c r="T96" s="409"/>
      <c r="U96" s="384"/>
      <c r="V96" s="384"/>
      <c r="W96" s="384"/>
      <c r="X96" s="384"/>
    </row>
    <row r="97" spans="2:20" ht="15">
      <c r="B97" s="271" t="s">
        <v>270</v>
      </c>
      <c r="C97" s="272"/>
      <c r="D97" s="272"/>
      <c r="E97" s="272"/>
      <c r="F97" s="272"/>
      <c r="G97" s="272"/>
      <c r="H97" s="272"/>
      <c r="I97" s="273"/>
      <c r="L97" s="146"/>
      <c r="M97" s="146"/>
      <c r="N97" s="146"/>
      <c r="O97" s="146"/>
      <c r="P97" s="146"/>
      <c r="Q97" s="146"/>
      <c r="R97" s="410"/>
      <c r="S97" s="410"/>
      <c r="T97" s="146"/>
    </row>
    <row r="98" spans="2:20" ht="15.75" customHeight="1">
      <c r="B98" s="274"/>
      <c r="C98" s="83" t="s">
        <v>12</v>
      </c>
      <c r="D98" s="83" t="s">
        <v>12</v>
      </c>
      <c r="E98" s="83" t="s">
        <v>13</v>
      </c>
      <c r="F98" s="83" t="s">
        <v>13</v>
      </c>
      <c r="G98" s="92" t="s">
        <v>14</v>
      </c>
      <c r="H98" s="83" t="s">
        <v>14</v>
      </c>
      <c r="I98" s="93" t="s">
        <v>92</v>
      </c>
      <c r="L98" s="146"/>
      <c r="M98" s="146"/>
      <c r="N98" s="146"/>
      <c r="O98" s="146"/>
      <c r="P98" s="146"/>
      <c r="Q98" s="146"/>
      <c r="R98" s="146"/>
      <c r="S98" s="146"/>
      <c r="T98" s="146"/>
    </row>
    <row r="99" spans="2:20" ht="15">
      <c r="B99" s="92" t="s">
        <v>4</v>
      </c>
      <c r="C99" s="83" t="s">
        <v>7</v>
      </c>
      <c r="D99" s="83" t="s">
        <v>8</v>
      </c>
      <c r="E99" s="83" t="s">
        <v>7</v>
      </c>
      <c r="F99" s="83" t="s">
        <v>8</v>
      </c>
      <c r="G99" s="92" t="s">
        <v>220</v>
      </c>
      <c r="H99" s="83" t="s">
        <v>221</v>
      </c>
      <c r="I99" s="93" t="s">
        <v>222</v>
      </c>
    </row>
    <row r="100" spans="2:20">
      <c r="B100" s="275" t="s">
        <v>232</v>
      </c>
      <c r="C100" s="259">
        <f t="shared" ref="C100:I109" si="51">LN(C83/C82)</f>
        <v>2.8541797792053434E-2</v>
      </c>
      <c r="D100" s="259">
        <f t="shared" si="51"/>
        <v>0.10888887331927365</v>
      </c>
      <c r="E100" s="259">
        <f t="shared" si="51"/>
        <v>2.5871169782394499E-2</v>
      </c>
      <c r="F100" s="259">
        <f t="shared" si="51"/>
        <v>0.10888887331927365</v>
      </c>
      <c r="G100" s="259">
        <f t="shared" si="51"/>
        <v>2.7206483787223949E-2</v>
      </c>
      <c r="H100" s="259">
        <f t="shared" si="51"/>
        <v>0.10888887331927365</v>
      </c>
      <c r="I100" s="268">
        <f t="shared" si="51"/>
        <v>8.1682389532049746E-2</v>
      </c>
    </row>
    <row r="101" spans="2:20">
      <c r="B101" s="275" t="s">
        <v>233</v>
      </c>
      <c r="C101" s="259">
        <f t="shared" si="51"/>
        <v>8.6261978122379487E-4</v>
      </c>
      <c r="D101" s="259">
        <f t="shared" si="51"/>
        <v>-4.3323402823670559E-2</v>
      </c>
      <c r="E101" s="259">
        <f t="shared" si="51"/>
        <v>8.806783501924514E-4</v>
      </c>
      <c r="F101" s="259">
        <f t="shared" si="51"/>
        <v>-4.3323402823670323E-2</v>
      </c>
      <c r="G101" s="259">
        <f t="shared" si="51"/>
        <v>8.7164906570818472E-4</v>
      </c>
      <c r="H101" s="259">
        <f t="shared" si="51"/>
        <v>-4.3323402823670323E-2</v>
      </c>
      <c r="I101" s="268">
        <f t="shared" si="51"/>
        <v>-4.41950518893785E-2</v>
      </c>
    </row>
    <row r="102" spans="2:20" ht="15">
      <c r="B102" s="275" t="s">
        <v>234</v>
      </c>
      <c r="C102" s="259">
        <f t="shared" si="51"/>
        <v>5.7248814422174357E-3</v>
      </c>
      <c r="D102" s="259">
        <f t="shared" si="51"/>
        <v>1.6363890916603084E-2</v>
      </c>
      <c r="E102" s="259">
        <f t="shared" si="51"/>
        <v>4.9923912144858949E-3</v>
      </c>
      <c r="F102" s="259">
        <f t="shared" si="51"/>
        <v>1.6363890916603084E-2</v>
      </c>
      <c r="G102" s="259">
        <f t="shared" si="51"/>
        <v>5.3586363283516479E-3</v>
      </c>
      <c r="H102" s="259">
        <f t="shared" si="51"/>
        <v>1.6363890916603084E-2</v>
      </c>
      <c r="I102" s="268">
        <f t="shared" si="51"/>
        <v>1.1005254588251474E-2</v>
      </c>
      <c r="R102" s="386"/>
      <c r="S102" s="146"/>
    </row>
    <row r="103" spans="2:20">
      <c r="B103" s="275" t="s">
        <v>235</v>
      </c>
      <c r="C103" s="259">
        <f t="shared" si="51"/>
        <v>6.2030357486532253E-3</v>
      </c>
      <c r="D103" s="259">
        <f t="shared" si="51"/>
        <v>1.1728531724450814E-2</v>
      </c>
      <c r="E103" s="259">
        <f t="shared" si="51"/>
        <v>6.897303241793877E-3</v>
      </c>
      <c r="F103" s="259">
        <f t="shared" si="51"/>
        <v>1.1728531724450814E-2</v>
      </c>
      <c r="G103" s="259">
        <f t="shared" si="51"/>
        <v>6.5501694952234983E-3</v>
      </c>
      <c r="H103" s="259">
        <f t="shared" si="51"/>
        <v>1.1728531724450814E-2</v>
      </c>
      <c r="I103" s="268">
        <f t="shared" si="51"/>
        <v>5.1783622292272766E-3</v>
      </c>
      <c r="R103" s="387"/>
      <c r="S103" s="146"/>
    </row>
    <row r="104" spans="2:20">
      <c r="B104" s="275" t="s">
        <v>236</v>
      </c>
      <c r="C104" s="259">
        <f t="shared" si="51"/>
        <v>-3.171402091186262E-6</v>
      </c>
      <c r="D104" s="259">
        <f t="shared" si="51"/>
        <v>-0.18183419037526402</v>
      </c>
      <c r="E104" s="259">
        <f t="shared" si="51"/>
        <v>2.2637968226002247E-3</v>
      </c>
      <c r="F104" s="259">
        <f t="shared" si="51"/>
        <v>-0.18183419037526391</v>
      </c>
      <c r="G104" s="259">
        <f t="shared" si="51"/>
        <v>1.1303127102546399E-3</v>
      </c>
      <c r="H104" s="259">
        <f t="shared" si="51"/>
        <v>-0.18183419037526391</v>
      </c>
      <c r="I104" s="268">
        <f t="shared" si="51"/>
        <v>-0.18296450308551837</v>
      </c>
      <c r="R104" s="387"/>
      <c r="S104" s="146"/>
    </row>
    <row r="105" spans="2:20">
      <c r="B105" s="275" t="s">
        <v>237</v>
      </c>
      <c r="C105" s="259">
        <f t="shared" si="51"/>
        <v>2.0932985960701617E-2</v>
      </c>
      <c r="D105" s="259">
        <f t="shared" si="51"/>
        <v>5.2291992869089317E-2</v>
      </c>
      <c r="E105" s="259">
        <f t="shared" si="51"/>
        <v>1.9118594364025587E-2</v>
      </c>
      <c r="F105" s="259">
        <f t="shared" si="51"/>
        <v>5.2291992869089525E-2</v>
      </c>
      <c r="G105" s="259">
        <f t="shared" si="51"/>
        <v>2.0025790162363603E-2</v>
      </c>
      <c r="H105" s="259">
        <f t="shared" si="51"/>
        <v>5.2291992869089525E-2</v>
      </c>
      <c r="I105" s="268">
        <f t="shared" si="51"/>
        <v>3.2266202706725929E-2</v>
      </c>
      <c r="R105" s="387"/>
      <c r="S105" s="146"/>
    </row>
    <row r="106" spans="2:20">
      <c r="B106" s="275" t="s">
        <v>238</v>
      </c>
      <c r="C106" s="259">
        <f t="shared" si="51"/>
        <v>-5.7521912256374248E-3</v>
      </c>
      <c r="D106" s="259">
        <f t="shared" si="51"/>
        <v>0.10215410108573698</v>
      </c>
      <c r="E106" s="259">
        <f t="shared" si="51"/>
        <v>-8.3777376777636227E-3</v>
      </c>
      <c r="F106" s="259">
        <f t="shared" si="51"/>
        <v>0.10215410108573718</v>
      </c>
      <c r="G106" s="259">
        <f t="shared" si="51"/>
        <v>-7.0649644517002536E-3</v>
      </c>
      <c r="H106" s="259">
        <f t="shared" si="51"/>
        <v>0.10215410108573718</v>
      </c>
      <c r="I106" s="268">
        <f t="shared" si="51"/>
        <v>0.10921906553743739</v>
      </c>
      <c r="R106" s="387"/>
      <c r="S106" s="146"/>
    </row>
    <row r="107" spans="2:20">
      <c r="B107" s="275" t="s">
        <v>239</v>
      </c>
      <c r="C107" s="259">
        <f t="shared" si="51"/>
        <v>1.5121667567737321E-2</v>
      </c>
      <c r="D107" s="259">
        <f t="shared" si="51"/>
        <v>-4.7922488120050649E-2</v>
      </c>
      <c r="E107" s="259">
        <f t="shared" si="51"/>
        <v>1.6102449024648319E-2</v>
      </c>
      <c r="F107" s="259">
        <f t="shared" si="51"/>
        <v>-4.7922488120050649E-2</v>
      </c>
      <c r="G107" s="259">
        <f t="shared" si="51"/>
        <v>1.5612058296192775E-2</v>
      </c>
      <c r="H107" s="259">
        <f t="shared" si="51"/>
        <v>-4.7922488120050649E-2</v>
      </c>
      <c r="I107" s="268">
        <f t="shared" si="51"/>
        <v>-6.3534546416243273E-2</v>
      </c>
      <c r="R107" s="387"/>
      <c r="S107" s="146"/>
    </row>
    <row r="108" spans="2:20">
      <c r="B108" s="275" t="s">
        <v>240</v>
      </c>
      <c r="C108" s="259">
        <f t="shared" si="51"/>
        <v>-1.356131805284118E-2</v>
      </c>
      <c r="D108" s="259">
        <f t="shared" si="51"/>
        <v>5.2539652832122773E-2</v>
      </c>
      <c r="E108" s="259">
        <f t="shared" si="51"/>
        <v>-1.3780573481802972E-2</v>
      </c>
      <c r="F108" s="259">
        <f t="shared" si="51"/>
        <v>5.2539652832122773E-2</v>
      </c>
      <c r="G108" s="259">
        <f t="shared" si="51"/>
        <v>-1.3670945767322099E-2</v>
      </c>
      <c r="H108" s="259">
        <f t="shared" si="51"/>
        <v>5.2539652832122773E-2</v>
      </c>
      <c r="I108" s="268">
        <f t="shared" si="51"/>
        <v>6.6210598599444795E-2</v>
      </c>
      <c r="R108" s="387"/>
      <c r="S108" s="146"/>
    </row>
    <row r="109" spans="2:20">
      <c r="B109" s="275" t="s">
        <v>241</v>
      </c>
      <c r="C109" s="259">
        <f t="shared" si="51"/>
        <v>4.2583733177947473E-3</v>
      </c>
      <c r="D109" s="259">
        <f t="shared" si="51"/>
        <v>-0.14419050996600283</v>
      </c>
      <c r="E109" s="259">
        <f t="shared" si="51"/>
        <v>5.4904790496816524E-3</v>
      </c>
      <c r="F109" s="259">
        <f t="shared" si="51"/>
        <v>-0.14419050996600255</v>
      </c>
      <c r="G109" s="259">
        <f t="shared" si="51"/>
        <v>4.8744261837380719E-3</v>
      </c>
      <c r="H109" s="259">
        <f t="shared" si="51"/>
        <v>-0.14419050996600269</v>
      </c>
      <c r="I109" s="268">
        <f t="shared" si="51"/>
        <v>-0.14906493614974073</v>
      </c>
      <c r="J109" s="368"/>
      <c r="R109" s="387"/>
      <c r="S109" s="146"/>
    </row>
    <row r="110" spans="2:20">
      <c r="B110" s="275" t="s">
        <v>300</v>
      </c>
      <c r="C110" s="259">
        <f t="shared" ref="C110:I110" si="52">LN(C93/C92)</f>
        <v>-1.716573129630335E-2</v>
      </c>
      <c r="D110" s="259">
        <f t="shared" si="52"/>
        <v>2.0356501624530659E-2</v>
      </c>
      <c r="E110" s="259">
        <f t="shared" si="52"/>
        <v>-1.3771389778022582E-2</v>
      </c>
      <c r="F110" s="259">
        <f t="shared" si="52"/>
        <v>2.0356501624530659E-2</v>
      </c>
      <c r="G110" s="259">
        <f t="shared" si="52"/>
        <v>-1.5468560537162996E-2</v>
      </c>
      <c r="H110" s="259">
        <f t="shared" si="52"/>
        <v>2.0356501624530659E-2</v>
      </c>
      <c r="I110" s="268">
        <f t="shared" si="52"/>
        <v>3.5825062161693483E-2</v>
      </c>
      <c r="R110" s="387"/>
      <c r="S110" s="146"/>
    </row>
    <row r="111" spans="2:20">
      <c r="B111" s="275" t="s">
        <v>301</v>
      </c>
      <c r="C111" s="259">
        <f t="shared" ref="C111:I111" si="53">LN(C94/C93)</f>
        <v>3.997900399901032E-3</v>
      </c>
      <c r="D111" s="259">
        <f t="shared" si="53"/>
        <v>-3.2495957016637177E-2</v>
      </c>
      <c r="E111" s="259">
        <f t="shared" si="53"/>
        <v>4.0526601465674912E-3</v>
      </c>
      <c r="F111" s="259">
        <f t="shared" si="53"/>
        <v>-3.2495957016636948E-2</v>
      </c>
      <c r="G111" s="259">
        <f t="shared" si="53"/>
        <v>4.0252802732342E-3</v>
      </c>
      <c r="H111" s="259">
        <f t="shared" si="53"/>
        <v>-3.2495957016636948E-2</v>
      </c>
      <c r="I111" s="268">
        <f t="shared" si="53"/>
        <v>-3.6521237289871271E-2</v>
      </c>
      <c r="R111" s="387"/>
      <c r="S111" s="146"/>
    </row>
    <row r="112" spans="2:20" ht="15.75" thickBot="1">
      <c r="B112" s="276" t="s">
        <v>91</v>
      </c>
      <c r="C112" s="270">
        <f t="shared" ref="C112:I112" si="54">AVERAGE(C100:C111)</f>
        <v>4.0967375027841238E-3</v>
      </c>
      <c r="D112" s="270">
        <f t="shared" si="54"/>
        <v>-7.1202503274848282E-3</v>
      </c>
      <c r="E112" s="270">
        <f t="shared" si="54"/>
        <v>4.1449850882334027E-3</v>
      </c>
      <c r="F112" s="270">
        <f t="shared" si="54"/>
        <v>-7.1202503274847241E-3</v>
      </c>
      <c r="G112" s="148">
        <f t="shared" si="54"/>
        <v>4.1208612955087685E-3</v>
      </c>
      <c r="H112" s="149">
        <f t="shared" si="54"/>
        <v>-7.1202503274847354E-3</v>
      </c>
      <c r="I112" s="137">
        <f t="shared" si="54"/>
        <v>-1.1241111622993504E-2</v>
      </c>
      <c r="R112" s="387"/>
      <c r="S112" s="146"/>
    </row>
    <row r="113" spans="1:18" ht="14.25" thickBot="1">
      <c r="R113" s="146"/>
    </row>
    <row r="114" spans="1:18" ht="15.75" thickBot="1">
      <c r="A114"/>
      <c r="B114" s="363" t="s">
        <v>271</v>
      </c>
      <c r="C114" s="364"/>
      <c r="D114" s="364"/>
      <c r="E114" s="364"/>
      <c r="F114" s="364"/>
      <c r="G114" s="364"/>
      <c r="H114" s="365"/>
      <c r="I114"/>
      <c r="J114"/>
    </row>
    <row r="115" spans="1:18" ht="14.25" thickBot="1">
      <c r="A115"/>
      <c r="B115" s="427" t="s">
        <v>255</v>
      </c>
      <c r="C115" s="427" t="s">
        <v>256</v>
      </c>
      <c r="D115" s="427" t="s">
        <v>303</v>
      </c>
      <c r="E115" s="427" t="s">
        <v>311</v>
      </c>
      <c r="F115" s="427" t="s">
        <v>312</v>
      </c>
      <c r="G115" s="427" t="s">
        <v>313</v>
      </c>
      <c r="H115" s="427" t="s">
        <v>314</v>
      </c>
      <c r="I115"/>
      <c r="J115"/>
    </row>
    <row r="116" spans="1:18" ht="14.25" thickBot="1">
      <c r="A116"/>
      <c r="B116" s="428"/>
      <c r="C116" s="428"/>
      <c r="D116" s="428"/>
      <c r="E116" s="428"/>
      <c r="F116" s="428"/>
      <c r="G116" s="428"/>
      <c r="H116" s="428"/>
      <c r="I116"/>
      <c r="J116"/>
    </row>
    <row r="117" spans="1:18">
      <c r="A117"/>
      <c r="B117" s="156">
        <v>0</v>
      </c>
      <c r="C117" s="186">
        <f t="shared" ref="C117:C129" si="55">LN(I82)</f>
        <v>0</v>
      </c>
      <c r="D117" s="278">
        <f>SLOPE(C117:C129,$B$117:$B$129)</f>
        <v>-1.4097732192118186E-2</v>
      </c>
      <c r="E117" s="186">
        <f t="shared" ref="E117:E129" si="56">LN(G82)</f>
        <v>0</v>
      </c>
      <c r="F117" s="278">
        <f>SLOPE(E117:E129,$B$117:$B$129)</f>
        <v>3.6218202363362249E-3</v>
      </c>
      <c r="G117" s="362">
        <f t="shared" ref="G117:G129" si="57">LN(H82)</f>
        <v>0</v>
      </c>
      <c r="H117" s="366">
        <f>SLOPE(G117:G129,$B$117:$B$129)</f>
        <v>-1.047591195578196E-2</v>
      </c>
      <c r="I117"/>
      <c r="J117"/>
    </row>
    <row r="118" spans="1:18">
      <c r="A118"/>
      <c r="B118" s="156">
        <f>B117+1</f>
        <v>1</v>
      </c>
      <c r="C118" s="186">
        <f t="shared" si="55"/>
        <v>8.1682389532049746E-2</v>
      </c>
      <c r="D118" s="147"/>
      <c r="E118" s="186">
        <f t="shared" si="56"/>
        <v>2.7206483787223949E-2</v>
      </c>
      <c r="F118" s="147"/>
      <c r="G118" s="186">
        <f t="shared" si="57"/>
        <v>0.10888887331927365</v>
      </c>
      <c r="H118" s="279"/>
      <c r="I118"/>
      <c r="J118"/>
    </row>
    <row r="119" spans="1:18">
      <c r="B119" s="156">
        <f t="shared" ref="B119:B126" si="58">B118+1</f>
        <v>2</v>
      </c>
      <c r="C119" s="186">
        <f t="shared" si="55"/>
        <v>3.7487337642671203E-2</v>
      </c>
      <c r="D119" s="147"/>
      <c r="E119" s="186">
        <f t="shared" si="56"/>
        <v>2.8078132852932144E-2</v>
      </c>
      <c r="F119" s="147"/>
      <c r="G119" s="186">
        <f t="shared" si="57"/>
        <v>6.5565470495603337E-2</v>
      </c>
      <c r="H119" s="279"/>
    </row>
    <row r="120" spans="1:18">
      <c r="B120" s="156">
        <f t="shared" si="58"/>
        <v>3</v>
      </c>
      <c r="C120" s="186">
        <f t="shared" si="55"/>
        <v>4.8492592230922719E-2</v>
      </c>
      <c r="D120" s="147"/>
      <c r="E120" s="186">
        <f t="shared" si="56"/>
        <v>3.3436769181283771E-2</v>
      </c>
      <c r="F120" s="147"/>
      <c r="G120" s="186">
        <f t="shared" si="57"/>
        <v>8.1929361412206456E-2</v>
      </c>
      <c r="H120" s="279"/>
    </row>
    <row r="121" spans="1:18">
      <c r="B121" s="156">
        <f t="shared" si="58"/>
        <v>4</v>
      </c>
      <c r="C121" s="186">
        <f t="shared" si="55"/>
        <v>5.3670954460149918E-2</v>
      </c>
      <c r="D121" s="147"/>
      <c r="E121" s="186">
        <f t="shared" si="56"/>
        <v>3.9986938676507246E-2</v>
      </c>
      <c r="F121" s="147"/>
      <c r="G121" s="186">
        <f t="shared" si="57"/>
        <v>9.3657893136657261E-2</v>
      </c>
      <c r="H121" s="279"/>
    </row>
    <row r="122" spans="1:18">
      <c r="B122" s="156">
        <f t="shared" si="58"/>
        <v>5</v>
      </c>
      <c r="C122" s="186">
        <f t="shared" si="55"/>
        <v>-0.12929354862536852</v>
      </c>
      <c r="D122" s="147"/>
      <c r="E122" s="186">
        <f t="shared" si="56"/>
        <v>4.1117251386761838E-2</v>
      </c>
      <c r="F122" s="147"/>
      <c r="G122" s="186">
        <f t="shared" si="57"/>
        <v>-8.8176297238606663E-2</v>
      </c>
      <c r="H122" s="279"/>
    </row>
    <row r="123" spans="1:18">
      <c r="B123" s="156">
        <f t="shared" si="58"/>
        <v>6</v>
      </c>
      <c r="C123" s="186">
        <f t="shared" si="55"/>
        <v>-9.702734591864258E-2</v>
      </c>
      <c r="D123" s="147"/>
      <c r="E123" s="186">
        <f t="shared" si="56"/>
        <v>6.1143041549125456E-2</v>
      </c>
      <c r="F123" s="147"/>
      <c r="G123" s="186">
        <f t="shared" si="57"/>
        <v>-3.5884304369517089E-2</v>
      </c>
      <c r="H123" s="279"/>
    </row>
    <row r="124" spans="1:18">
      <c r="B124" s="156">
        <f t="shared" si="58"/>
        <v>7</v>
      </c>
      <c r="C124" s="186">
        <f t="shared" si="55"/>
        <v>1.21917196187948E-2</v>
      </c>
      <c r="D124" s="147"/>
      <c r="E124" s="186">
        <f t="shared" si="56"/>
        <v>5.4078077097425167E-2</v>
      </c>
      <c r="F124" s="147"/>
      <c r="G124" s="186">
        <f t="shared" si="57"/>
        <v>6.6269796716220061E-2</v>
      </c>
      <c r="H124" s="279"/>
    </row>
    <row r="125" spans="1:18">
      <c r="B125" s="156">
        <f t="shared" si="58"/>
        <v>8</v>
      </c>
      <c r="C125" s="186">
        <f t="shared" si="55"/>
        <v>-5.1342826797448428E-2</v>
      </c>
      <c r="D125" s="147"/>
      <c r="E125" s="186">
        <f t="shared" si="56"/>
        <v>6.9690135393617875E-2</v>
      </c>
      <c r="F125" s="147"/>
      <c r="G125" s="186">
        <f t="shared" si="57"/>
        <v>1.8347308596169395E-2</v>
      </c>
      <c r="H125" s="279"/>
    </row>
    <row r="126" spans="1:18">
      <c r="B126" s="156">
        <f t="shared" si="58"/>
        <v>9</v>
      </c>
      <c r="C126" s="186">
        <f t="shared" si="55"/>
        <v>1.486777180199632E-2</v>
      </c>
      <c r="D126" s="147"/>
      <c r="E126" s="186">
        <f t="shared" si="56"/>
        <v>5.6019189626295832E-2</v>
      </c>
      <c r="F126" s="147"/>
      <c r="G126" s="186">
        <f t="shared" si="57"/>
        <v>7.0886961428292095E-2</v>
      </c>
      <c r="H126" s="279"/>
    </row>
    <row r="127" spans="1:18">
      <c r="B127" s="156">
        <f>B126+1</f>
        <v>10</v>
      </c>
      <c r="C127" s="186">
        <f t="shared" si="55"/>
        <v>-0.13419716434774437</v>
      </c>
      <c r="D127" s="147"/>
      <c r="E127" s="186">
        <f t="shared" si="56"/>
        <v>6.089361581003383E-2</v>
      </c>
      <c r="F127" s="147"/>
      <c r="G127" s="186">
        <f t="shared" si="57"/>
        <v>-7.3303548537710581E-2</v>
      </c>
      <c r="H127" s="279"/>
    </row>
    <row r="128" spans="1:18">
      <c r="B128" s="156">
        <f t="shared" ref="B128:B129" si="59">B127+1</f>
        <v>11</v>
      </c>
      <c r="C128" s="186">
        <f t="shared" si="55"/>
        <v>-9.8372102186050775E-2</v>
      </c>
      <c r="D128" s="147"/>
      <c r="E128" s="186">
        <f t="shared" si="56"/>
        <v>4.5425055272870878E-2</v>
      </c>
      <c r="F128" s="147"/>
      <c r="G128" s="186">
        <f t="shared" si="57"/>
        <v>-5.2947046913179918E-2</v>
      </c>
      <c r="H128" s="279"/>
    </row>
    <row r="129" spans="2:8" ht="14.25" thickBot="1">
      <c r="B129" s="379">
        <f t="shared" si="59"/>
        <v>12</v>
      </c>
      <c r="C129" s="380">
        <f t="shared" si="55"/>
        <v>-0.13489333947592208</v>
      </c>
      <c r="D129" s="172"/>
      <c r="E129" s="380">
        <f t="shared" si="56"/>
        <v>4.9450335546105145E-2</v>
      </c>
      <c r="F129" s="172"/>
      <c r="G129" s="380">
        <f t="shared" si="57"/>
        <v>-8.5443003929816894E-2</v>
      </c>
      <c r="H129" s="173"/>
    </row>
  </sheetData>
  <dataConsolidate/>
  <mergeCells count="7">
    <mergeCell ref="G115:G116"/>
    <mergeCell ref="H115:H116"/>
    <mergeCell ref="B115:B116"/>
    <mergeCell ref="C115:C116"/>
    <mergeCell ref="D115:D116"/>
    <mergeCell ref="E115:E116"/>
    <mergeCell ref="F115:F116"/>
  </mergeCells>
  <pageMargins left="0.7" right="0.7" top="0.75" bottom="0.75" header="0.3" footer="0.3"/>
  <pageSetup orientation="landscape" r:id="rId1"/>
  <headerFooter>
    <oddHeader>&amp;CFiled: 2016-10-26, EB-2016-0152
Exhibit L, Tab 11.1, Schedule 1 Staff-246
Attachment 2</oddHeader>
  </headerFooter>
  <rowBreaks count="2" manualBreakCount="2">
    <brk id="39" max="10" man="1"/>
    <brk id="94"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'OPG hydro peers'!$D$4:$D$23</xm:f>
          </x14:formula1>
          <xm:sqref>C2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1:BJ264"/>
  <sheetViews>
    <sheetView showGridLines="0" tabSelected="1" view="pageLayout" zoomScaleNormal="85" zoomScaleSheetLayoutView="85" workbookViewId="0">
      <selection activeCell="A2" sqref="A2"/>
    </sheetView>
  </sheetViews>
  <sheetFormatPr defaultRowHeight="13.5"/>
  <cols>
    <col min="1" max="1" width="2.85546875" customWidth="1"/>
    <col min="2" max="2" width="8.28515625" style="2" bestFit="1" customWidth="1"/>
    <col min="3" max="3" width="7.28515625" style="2" bestFit="1" customWidth="1"/>
    <col min="4" max="4" width="20.42578125" style="2" bestFit="1" customWidth="1"/>
    <col min="5" max="5" width="6.140625" style="14" customWidth="1"/>
    <col min="6" max="6" width="11" style="2" bestFit="1" customWidth="1"/>
    <col min="7" max="7" width="14.140625" style="2" bestFit="1" customWidth="1"/>
    <col min="8" max="8" width="14.7109375" style="2" bestFit="1" customWidth="1"/>
    <col min="9" max="9" width="18.5703125" style="2" bestFit="1" customWidth="1"/>
    <col min="10" max="10" width="12.140625" style="2" bestFit="1" customWidth="1"/>
    <col min="11" max="11" width="19" style="2" bestFit="1" customWidth="1"/>
    <col min="12" max="12" width="20" style="2" bestFit="1" customWidth="1"/>
    <col min="13" max="13" width="15.85546875" style="2" customWidth="1"/>
    <col min="14" max="14" width="12.42578125" style="3" customWidth="1"/>
    <col min="15" max="15" width="12" style="2" customWidth="1"/>
    <col min="16" max="16" width="12.5703125" style="2" customWidth="1"/>
    <col min="17" max="17" width="12.85546875" style="2" customWidth="1"/>
    <col min="18" max="18" width="19.7109375" style="2" customWidth="1"/>
    <col min="19" max="20" width="23.5703125" style="2" customWidth="1"/>
    <col min="21" max="21" width="9.140625" style="2" customWidth="1"/>
    <col min="22" max="24" width="9.140625" style="15"/>
  </cols>
  <sheetData>
    <row r="1" spans="2:60">
      <c r="K1" s="417">
        <f>AVERAGE(K5:K17)</f>
        <v>0.16229598401067521</v>
      </c>
      <c r="L1" s="417">
        <f>'EUCG L share'!E34</f>
        <v>0.62709408102958719</v>
      </c>
      <c r="N1" s="2"/>
    </row>
    <row r="2" spans="2:60">
      <c r="B2" s="80"/>
      <c r="C2" s="80"/>
      <c r="D2" s="80"/>
      <c r="E2" s="81"/>
      <c r="F2" s="80" t="s">
        <v>1</v>
      </c>
      <c r="G2" s="80"/>
      <c r="H2" s="80" t="s">
        <v>1</v>
      </c>
      <c r="I2" s="80" t="s">
        <v>1</v>
      </c>
      <c r="J2" s="80" t="s">
        <v>1</v>
      </c>
      <c r="K2" s="80"/>
      <c r="L2" s="80"/>
      <c r="M2" s="80" t="s">
        <v>2</v>
      </c>
      <c r="N2" s="80" t="s">
        <v>3</v>
      </c>
      <c r="O2" s="80" t="s">
        <v>3</v>
      </c>
      <c r="P2" s="80" t="s">
        <v>3</v>
      </c>
      <c r="Q2" s="80" t="s">
        <v>3</v>
      </c>
      <c r="R2" s="80" t="s">
        <v>3</v>
      </c>
      <c r="S2" s="80" t="s">
        <v>3</v>
      </c>
      <c r="T2" s="80" t="s">
        <v>167</v>
      </c>
    </row>
    <row r="3" spans="2:60">
      <c r="B3" s="80"/>
      <c r="C3" s="80"/>
      <c r="D3" s="80"/>
      <c r="E3" s="81"/>
      <c r="F3" s="80" t="s">
        <v>18</v>
      </c>
      <c r="G3" s="80" t="s">
        <v>20</v>
      </c>
      <c r="H3" s="80" t="s">
        <v>19</v>
      </c>
      <c r="I3" s="80" t="s">
        <v>19</v>
      </c>
      <c r="J3" s="80" t="s">
        <v>19</v>
      </c>
      <c r="K3" s="80" t="s">
        <v>20</v>
      </c>
      <c r="L3" s="80" t="s">
        <v>20</v>
      </c>
      <c r="M3" s="80" t="s">
        <v>21</v>
      </c>
      <c r="N3" s="80" t="s">
        <v>19</v>
      </c>
      <c r="O3" s="80" t="s">
        <v>19</v>
      </c>
      <c r="P3" s="80" t="s">
        <v>20</v>
      </c>
      <c r="Q3" s="80" t="s">
        <v>20</v>
      </c>
      <c r="R3" s="80" t="s">
        <v>20</v>
      </c>
      <c r="S3" s="80" t="s">
        <v>20</v>
      </c>
      <c r="T3" s="80" t="s">
        <v>168</v>
      </c>
    </row>
    <row r="4" spans="2:60" ht="15">
      <c r="B4" s="68" t="s">
        <v>93</v>
      </c>
      <c r="C4" s="68" t="s">
        <v>22</v>
      </c>
      <c r="D4" s="68" t="s">
        <v>23</v>
      </c>
      <c r="E4" s="82" t="s">
        <v>4</v>
      </c>
      <c r="F4" s="83" t="s">
        <v>24</v>
      </c>
      <c r="G4" s="83" t="s">
        <v>165</v>
      </c>
      <c r="H4" s="68" t="s">
        <v>161</v>
      </c>
      <c r="I4" s="68" t="s">
        <v>160</v>
      </c>
      <c r="J4" s="68" t="s">
        <v>159</v>
      </c>
      <c r="K4" s="68" t="s">
        <v>212</v>
      </c>
      <c r="L4" s="16" t="s">
        <v>25</v>
      </c>
      <c r="M4" s="68" t="s">
        <v>26</v>
      </c>
      <c r="N4" s="68" t="s">
        <v>27</v>
      </c>
      <c r="O4" s="68" t="s">
        <v>28</v>
      </c>
      <c r="P4" s="16" t="s">
        <v>29</v>
      </c>
      <c r="Q4" s="16" t="s">
        <v>162</v>
      </c>
      <c r="R4" s="16" t="s">
        <v>163</v>
      </c>
      <c r="S4" s="16" t="s">
        <v>164</v>
      </c>
      <c r="T4" s="16" t="s">
        <v>166</v>
      </c>
    </row>
    <row r="5" spans="2:60">
      <c r="B5" s="2">
        <f>'OPG hydro peers'!B4</f>
        <v>1</v>
      </c>
      <c r="C5" s="2">
        <v>0</v>
      </c>
      <c r="D5" s="2" t="s">
        <v>31</v>
      </c>
      <c r="E5" s="14">
        <v>2002</v>
      </c>
      <c r="F5" s="411">
        <v>6898.5099999999984</v>
      </c>
      <c r="G5" s="17">
        <f t="shared" ref="G5:G17" si="0">M5/(F5*8760)</f>
        <v>0.56225759067858816</v>
      </c>
      <c r="H5" s="412">
        <v>78723.459999999992</v>
      </c>
      <c r="I5" s="412">
        <v>39165.660000000003</v>
      </c>
      <c r="J5" s="3">
        <f t="shared" ref="J5:J17" si="1">SUM($H5:$I5)</f>
        <v>117889.12</v>
      </c>
      <c r="K5" s="17">
        <f>J5/$J$239</f>
        <v>0.16562917426750851</v>
      </c>
      <c r="L5" s="17">
        <f t="shared" ref="L5:L17" si="2">H5/J5</f>
        <v>0.66777544865887539</v>
      </c>
      <c r="M5" s="411">
        <v>33977759</v>
      </c>
      <c r="N5" s="411">
        <v>2126289.7744959998</v>
      </c>
      <c r="O5" s="3">
        <f t="shared" ref="O5:O15" si="3">N5-J5</f>
        <v>2008400.6544959997</v>
      </c>
      <c r="P5" s="17">
        <f>O5/N5</f>
        <v>0.94455641869041873</v>
      </c>
      <c r="Q5" s="17">
        <f>1-P5</f>
        <v>5.5443581309581269E-2</v>
      </c>
      <c r="R5" s="108">
        <f t="shared" ref="R5:R15" si="4">Q5*L5</f>
        <v>3.7023862384260468E-2</v>
      </c>
      <c r="S5" s="108">
        <f>Q5-R5</f>
        <v>1.8419718925320801E-2</v>
      </c>
      <c r="T5" s="135">
        <f>'Can O&amp;M price indexes'!N15</f>
        <v>1</v>
      </c>
      <c r="U5" s="237"/>
      <c r="V5" s="239"/>
      <c r="W5" s="239"/>
      <c r="X5" s="239"/>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c r="BC5" s="240"/>
      <c r="BD5" s="240"/>
      <c r="BE5" s="240"/>
      <c r="BF5" s="240"/>
      <c r="BG5" s="240"/>
      <c r="BH5" s="240"/>
    </row>
    <row r="6" spans="2:60">
      <c r="B6" s="2">
        <f t="shared" ref="B6:B17" si="5">B5</f>
        <v>1</v>
      </c>
      <c r="C6" s="2">
        <f t="shared" ref="C6:C17" si="6">C5</f>
        <v>0</v>
      </c>
      <c r="D6" s="2" t="s">
        <v>31</v>
      </c>
      <c r="E6" s="14">
        <v>2003</v>
      </c>
      <c r="F6" s="411">
        <v>6926.0099999999984</v>
      </c>
      <c r="G6" s="17">
        <f t="shared" si="0"/>
        <v>0.54725193501442027</v>
      </c>
      <c r="H6" s="412">
        <v>84147.322400000005</v>
      </c>
      <c r="I6" s="412">
        <v>46554.921589999998</v>
      </c>
      <c r="J6" s="3">
        <f t="shared" si="1"/>
        <v>130702.24399</v>
      </c>
      <c r="K6" s="17">
        <f>J6/$J$240</f>
        <v>0.16403283883757083</v>
      </c>
      <c r="L6" s="17">
        <f t="shared" si="2"/>
        <v>0.64380931674316244</v>
      </c>
      <c r="M6" s="411">
        <v>33202786</v>
      </c>
      <c r="N6" s="411">
        <v>2068079.04862</v>
      </c>
      <c r="O6" s="3">
        <f t="shared" si="3"/>
        <v>1937376.8046299999</v>
      </c>
      <c r="P6" s="17">
        <f t="shared" ref="P6:P15" si="7">O6/N6</f>
        <v>0.93680017014958117</v>
      </c>
      <c r="Q6" s="17">
        <f t="shared" ref="Q6:Q15" si="8">1-P6</f>
        <v>6.3199829850418832E-2</v>
      </c>
      <c r="R6" s="108">
        <f t="shared" si="4"/>
        <v>4.0688639274282269E-2</v>
      </c>
      <c r="S6" s="108">
        <f t="shared" ref="S6:S15" si="9">Q6-R6</f>
        <v>2.2511190576136562E-2</v>
      </c>
      <c r="T6" s="135">
        <f>'Can O&amp;M price indexes'!N16</f>
        <v>1.0216477671655084</v>
      </c>
      <c r="U6" s="237"/>
      <c r="V6" s="239"/>
      <c r="W6" s="239"/>
      <c r="X6" s="239"/>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240"/>
      <c r="AW6" s="240"/>
      <c r="AX6" s="240"/>
      <c r="AY6" s="240"/>
      <c r="AZ6" s="240"/>
      <c r="BA6" s="240"/>
      <c r="BB6" s="240"/>
      <c r="BC6" s="240"/>
      <c r="BD6" s="240"/>
      <c r="BE6" s="240"/>
      <c r="BF6" s="240"/>
      <c r="BG6" s="240"/>
      <c r="BH6" s="240"/>
    </row>
    <row r="7" spans="2:60">
      <c r="B7" s="2">
        <f t="shared" si="5"/>
        <v>1</v>
      </c>
      <c r="C7" s="2">
        <f t="shared" si="6"/>
        <v>0</v>
      </c>
      <c r="D7" s="2" t="s">
        <v>31</v>
      </c>
      <c r="E7" s="14">
        <v>2004</v>
      </c>
      <c r="F7" s="411">
        <v>6958.0099999999984</v>
      </c>
      <c r="G7" s="17">
        <f t="shared" si="0"/>
        <v>0.57998385278097986</v>
      </c>
      <c r="H7" s="412">
        <v>88414.01066</v>
      </c>
      <c r="I7" s="412">
        <v>43797.113089999999</v>
      </c>
      <c r="J7" s="3">
        <f t="shared" si="1"/>
        <v>132211.12375</v>
      </c>
      <c r="K7" s="17">
        <f>J7/$J$241</f>
        <v>0.16097393832711041</v>
      </c>
      <c r="L7" s="17">
        <f t="shared" si="2"/>
        <v>0.66873352371759109</v>
      </c>
      <c r="M7" s="411">
        <v>35351273</v>
      </c>
      <c r="N7" s="411">
        <v>1851547.2550300001</v>
      </c>
      <c r="O7" s="3">
        <f t="shared" si="3"/>
        <v>1719336.1312800001</v>
      </c>
      <c r="P7" s="17">
        <f t="shared" si="7"/>
        <v>0.92859424819386649</v>
      </c>
      <c r="Q7" s="17">
        <f t="shared" si="8"/>
        <v>7.1405751806133511E-2</v>
      </c>
      <c r="R7" s="108">
        <f t="shared" si="4"/>
        <v>4.7751420019019407E-2</v>
      </c>
      <c r="S7" s="108">
        <f t="shared" si="9"/>
        <v>2.3654331787114104E-2</v>
      </c>
      <c r="T7" s="135">
        <f>'Can O&amp;M price indexes'!N17</f>
        <v>1.046469360323721</v>
      </c>
      <c r="U7" s="237"/>
      <c r="V7" s="239"/>
      <c r="W7" s="239"/>
      <c r="X7" s="239"/>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row>
    <row r="8" spans="2:60">
      <c r="B8" s="2">
        <f t="shared" si="5"/>
        <v>1</v>
      </c>
      <c r="C8" s="2">
        <f t="shared" si="6"/>
        <v>0</v>
      </c>
      <c r="D8" s="2" t="s">
        <v>31</v>
      </c>
      <c r="E8" s="14">
        <v>2005</v>
      </c>
      <c r="F8" s="411">
        <v>6923.6099999999988</v>
      </c>
      <c r="G8" s="17">
        <f t="shared" si="0"/>
        <v>0.55212964989316327</v>
      </c>
      <c r="H8" s="412">
        <v>91482.578680000006</v>
      </c>
      <c r="I8" s="412">
        <v>50905.888859999999</v>
      </c>
      <c r="J8" s="3">
        <f t="shared" si="1"/>
        <v>142388.46754000001</v>
      </c>
      <c r="K8" s="17">
        <f>J8/$J$242</f>
        <v>0.16416564005812706</v>
      </c>
      <c r="L8" s="17">
        <f t="shared" si="2"/>
        <v>0.64248587164757964</v>
      </c>
      <c r="M8" s="411">
        <v>33487118</v>
      </c>
      <c r="N8" s="411">
        <v>1837930.4661700001</v>
      </c>
      <c r="O8" s="3">
        <f t="shared" si="3"/>
        <v>1695541.99863</v>
      </c>
      <c r="P8" s="17">
        <f t="shared" si="7"/>
        <v>0.92252782672637312</v>
      </c>
      <c r="Q8" s="17">
        <f t="shared" si="8"/>
        <v>7.7472173273626876E-2</v>
      </c>
      <c r="R8" s="108">
        <f t="shared" si="4"/>
        <v>4.9774776774138489E-2</v>
      </c>
      <c r="S8" s="108">
        <f t="shared" si="9"/>
        <v>2.7697396499488387E-2</v>
      </c>
      <c r="T8" s="135">
        <f>'Can O&amp;M price indexes'!N18</f>
        <v>1.0786967724726459</v>
      </c>
      <c r="U8" s="237"/>
      <c r="V8" s="239"/>
      <c r="W8" s="239"/>
      <c r="X8" s="239"/>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row>
    <row r="9" spans="2:60">
      <c r="B9" s="2">
        <f t="shared" si="5"/>
        <v>1</v>
      </c>
      <c r="C9" s="2">
        <f t="shared" si="6"/>
        <v>0</v>
      </c>
      <c r="D9" s="2" t="s">
        <v>31</v>
      </c>
      <c r="E9" s="14">
        <v>2006</v>
      </c>
      <c r="F9" s="411">
        <v>6971.0099999999984</v>
      </c>
      <c r="G9" s="17">
        <f t="shared" si="0"/>
        <v>0.56216887041498997</v>
      </c>
      <c r="H9" s="412">
        <v>100681.86233</v>
      </c>
      <c r="I9" s="412">
        <v>55924.058429999997</v>
      </c>
      <c r="J9" s="3">
        <f t="shared" si="1"/>
        <v>156605.92076000001</v>
      </c>
      <c r="K9" s="17">
        <f>J9/$J$243</f>
        <v>0.17145756111302674</v>
      </c>
      <c r="L9" s="17">
        <f t="shared" si="2"/>
        <v>0.64289946281338795</v>
      </c>
      <c r="M9" s="411">
        <v>34329431</v>
      </c>
      <c r="N9" s="411">
        <v>1408919.80602</v>
      </c>
      <c r="O9" s="3">
        <f t="shared" si="3"/>
        <v>1252313.8852599999</v>
      </c>
      <c r="P9" s="17">
        <f t="shared" si="7"/>
        <v>0.88884681719225045</v>
      </c>
      <c r="Q9" s="17">
        <f t="shared" si="8"/>
        <v>0.11115318280774955</v>
      </c>
      <c r="R9" s="108">
        <f t="shared" si="4"/>
        <v>7.1460321517100495E-2</v>
      </c>
      <c r="S9" s="108">
        <f t="shared" si="9"/>
        <v>3.9692861290649056E-2</v>
      </c>
      <c r="T9" s="135">
        <f>'Can O&amp;M price indexes'!N19</f>
        <v>1.099250227385117</v>
      </c>
      <c r="U9" s="237"/>
      <c r="V9" s="239"/>
      <c r="W9" s="239"/>
      <c r="X9" s="239"/>
      <c r="Y9" s="240"/>
      <c r="Z9" s="240"/>
      <c r="AA9" s="240"/>
      <c r="AB9" s="240"/>
      <c r="AC9" s="240"/>
      <c r="AD9" s="240"/>
      <c r="AE9" s="240"/>
      <c r="AF9" s="240"/>
      <c r="AG9" s="240"/>
      <c r="AH9" s="240"/>
      <c r="AI9" s="240"/>
      <c r="AJ9" s="240"/>
      <c r="AK9" s="240"/>
      <c r="AL9" s="240"/>
      <c r="AM9" s="240"/>
      <c r="AN9" s="240"/>
      <c r="AO9" s="240"/>
      <c r="AP9" s="240"/>
      <c r="AQ9" s="240"/>
      <c r="AR9" s="240"/>
      <c r="AS9" s="240"/>
      <c r="AT9" s="240"/>
      <c r="AU9" s="240"/>
      <c r="AV9" s="240"/>
      <c r="AW9" s="240"/>
      <c r="AX9" s="240"/>
      <c r="AY9" s="240"/>
      <c r="AZ9" s="240"/>
      <c r="BA9" s="240"/>
      <c r="BB9" s="240"/>
      <c r="BC9" s="240"/>
      <c r="BD9" s="240"/>
      <c r="BE9" s="240"/>
      <c r="BF9" s="240"/>
      <c r="BG9" s="240"/>
      <c r="BH9" s="240"/>
    </row>
    <row r="10" spans="2:60">
      <c r="B10" s="2">
        <f t="shared" si="5"/>
        <v>1</v>
      </c>
      <c r="C10" s="2">
        <f t="shared" si="6"/>
        <v>0</v>
      </c>
      <c r="D10" s="2" t="s">
        <v>31</v>
      </c>
      <c r="E10" s="14">
        <v>2007</v>
      </c>
      <c r="F10" s="411">
        <v>6970.8099999999986</v>
      </c>
      <c r="G10" s="17">
        <f t="shared" si="0"/>
        <v>0.54019648758545591</v>
      </c>
      <c r="H10" s="412">
        <v>106219.52222</v>
      </c>
      <c r="I10" s="412">
        <v>58734.58023</v>
      </c>
      <c r="J10" s="3">
        <f t="shared" si="1"/>
        <v>164954.10245000001</v>
      </c>
      <c r="K10" s="17">
        <f>J10/$J$244</f>
        <v>0.16582698176667091</v>
      </c>
      <c r="L10" s="17">
        <f t="shared" si="2"/>
        <v>0.64393380123538724</v>
      </c>
      <c r="M10" s="411">
        <v>32986718</v>
      </c>
      <c r="N10" s="411">
        <v>1378521.0506000002</v>
      </c>
      <c r="O10" s="3">
        <f t="shared" si="3"/>
        <v>1213566.9481500001</v>
      </c>
      <c r="P10" s="17">
        <f t="shared" si="7"/>
        <v>0.88033980157342973</v>
      </c>
      <c r="Q10" s="17">
        <f t="shared" si="8"/>
        <v>0.11966019842657027</v>
      </c>
      <c r="R10" s="108">
        <f t="shared" si="4"/>
        <v>7.7053246429402103E-2</v>
      </c>
      <c r="S10" s="108">
        <f t="shared" si="9"/>
        <v>4.2606951997168171E-2</v>
      </c>
      <c r="T10" s="135">
        <f>'Can O&amp;M price indexes'!N20</f>
        <v>1.1354504219317154</v>
      </c>
      <c r="U10" s="237"/>
      <c r="V10" s="239"/>
      <c r="W10" s="239"/>
      <c r="X10" s="239"/>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40"/>
      <c r="BC10" s="240"/>
      <c r="BD10" s="240"/>
      <c r="BE10" s="240"/>
      <c r="BF10" s="240"/>
      <c r="BG10" s="240"/>
      <c r="BH10" s="240"/>
    </row>
    <row r="11" spans="2:60">
      <c r="B11" s="2">
        <f t="shared" si="5"/>
        <v>1</v>
      </c>
      <c r="C11" s="2">
        <f t="shared" si="6"/>
        <v>0</v>
      </c>
      <c r="D11" s="2" t="s">
        <v>31</v>
      </c>
      <c r="E11" s="14">
        <v>2008</v>
      </c>
      <c r="F11" s="411">
        <f>7030.41-11.75-10.8-5.2-3.5</f>
        <v>6999.16</v>
      </c>
      <c r="G11" s="17">
        <f t="shared" si="0"/>
        <v>0.61036884276080505</v>
      </c>
      <c r="H11" s="412">
        <v>110503.06468000001</v>
      </c>
      <c r="I11" s="412">
        <v>75236.367070000008</v>
      </c>
      <c r="J11" s="3">
        <f t="shared" si="1"/>
        <v>185739.43175000002</v>
      </c>
      <c r="K11" s="17">
        <f>J11/$J$245</f>
        <v>0.17142493945831824</v>
      </c>
      <c r="L11" s="17">
        <f t="shared" si="2"/>
        <v>0.594935946766188</v>
      </c>
      <c r="M11" s="411">
        <v>37423326.099999994</v>
      </c>
      <c r="N11" s="411">
        <v>1615588.8934800001</v>
      </c>
      <c r="O11" s="3">
        <f t="shared" si="3"/>
        <v>1429849.4617300001</v>
      </c>
      <c r="P11" s="17">
        <f t="shared" si="7"/>
        <v>0.88503298549551501</v>
      </c>
      <c r="Q11" s="17">
        <f t="shared" si="8"/>
        <v>0.11496701450448499</v>
      </c>
      <c r="R11" s="108">
        <f t="shared" si="4"/>
        <v>6.8398009621107841E-2</v>
      </c>
      <c r="S11" s="108">
        <f t="shared" si="9"/>
        <v>4.6569004883377146E-2</v>
      </c>
      <c r="T11" s="135">
        <f>'Can O&amp;M price indexes'!N21</f>
        <v>1.1628231376944895</v>
      </c>
      <c r="U11" s="237"/>
      <c r="V11" s="239"/>
      <c r="W11" s="239"/>
      <c r="X11" s="239"/>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row>
    <row r="12" spans="2:60">
      <c r="B12" s="2">
        <f t="shared" si="5"/>
        <v>1</v>
      </c>
      <c r="C12" s="2">
        <f t="shared" si="6"/>
        <v>0</v>
      </c>
      <c r="D12" s="2" t="s">
        <v>31</v>
      </c>
      <c r="E12" s="14">
        <v>2009</v>
      </c>
      <c r="F12" s="411">
        <f>6919.623-10.8-3.6</f>
        <v>6905.222999999999</v>
      </c>
      <c r="G12" s="17">
        <f t="shared" si="0"/>
        <v>0.60015051329318148</v>
      </c>
      <c r="H12" s="412">
        <v>114132.30885</v>
      </c>
      <c r="I12" s="412">
        <v>70964.519109999994</v>
      </c>
      <c r="J12" s="3">
        <f t="shared" si="1"/>
        <v>185096.82796</v>
      </c>
      <c r="K12" s="17">
        <f>J12/$J$246</f>
        <v>0.17244503260073377</v>
      </c>
      <c r="L12" s="17">
        <f t="shared" si="2"/>
        <v>0.61660866967782046</v>
      </c>
      <c r="M12" s="411">
        <v>36302956.600000001</v>
      </c>
      <c r="N12" s="411">
        <v>1335251.2364000001</v>
      </c>
      <c r="O12" s="3">
        <f t="shared" si="3"/>
        <v>1150154.4084400001</v>
      </c>
      <c r="P12" s="17">
        <f t="shared" si="7"/>
        <v>0.86137677845628247</v>
      </c>
      <c r="Q12" s="17">
        <f t="shared" si="8"/>
        <v>0.13862322154371753</v>
      </c>
      <c r="R12" s="108">
        <f t="shared" si="4"/>
        <v>8.5476280222525444E-2</v>
      </c>
      <c r="S12" s="108">
        <f t="shared" si="9"/>
        <v>5.314694132119209E-2</v>
      </c>
      <c r="T12" s="135">
        <f>'Can O&amp;M price indexes'!N22</f>
        <v>1.177420350781766</v>
      </c>
      <c r="U12" s="237"/>
      <c r="V12" s="239"/>
      <c r="W12" s="239"/>
      <c r="X12" s="239"/>
      <c r="Y12" s="240"/>
      <c r="Z12" s="240"/>
      <c r="AA12" s="240"/>
      <c r="AB12" s="240"/>
      <c r="AC12" s="240"/>
      <c r="AD12" s="240"/>
      <c r="AE12" s="240"/>
      <c r="AF12" s="240"/>
      <c r="AG12" s="240"/>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0"/>
      <c r="BD12" s="240"/>
      <c r="BE12" s="240"/>
      <c r="BF12" s="240"/>
      <c r="BG12" s="240"/>
      <c r="BH12" s="240"/>
    </row>
    <row r="13" spans="2:60">
      <c r="B13" s="2">
        <f t="shared" si="5"/>
        <v>1</v>
      </c>
      <c r="C13" s="2">
        <f t="shared" si="6"/>
        <v>0</v>
      </c>
      <c r="D13" s="2" t="s">
        <v>31</v>
      </c>
      <c r="E13" s="14">
        <v>2010</v>
      </c>
      <c r="F13" s="411">
        <v>6905.5699999999988</v>
      </c>
      <c r="G13" s="17">
        <f t="shared" si="0"/>
        <v>0.50532066189993696</v>
      </c>
      <c r="H13" s="412">
        <v>107411.93009929522</v>
      </c>
      <c r="I13" s="412">
        <v>77281.183353160057</v>
      </c>
      <c r="J13" s="3">
        <f t="shared" si="1"/>
        <v>184693.11345245526</v>
      </c>
      <c r="K13" s="17">
        <f>J13/$J$247</f>
        <v>0.16021638628860491</v>
      </c>
      <c r="L13" s="17">
        <f t="shared" si="2"/>
        <v>0.58156976235578917</v>
      </c>
      <c r="M13" s="411">
        <v>30568258.300000001</v>
      </c>
      <c r="N13" s="411">
        <v>1125925.9085899999</v>
      </c>
      <c r="O13" s="3">
        <f t="shared" si="3"/>
        <v>941232.79513754463</v>
      </c>
      <c r="P13" s="17">
        <f t="shared" si="7"/>
        <v>0.83596335065799587</v>
      </c>
      <c r="Q13" s="17">
        <f t="shared" si="8"/>
        <v>0.16403664934200413</v>
      </c>
      <c r="R13" s="108">
        <f t="shared" si="4"/>
        <v>9.5398755175469252E-2</v>
      </c>
      <c r="S13" s="108">
        <f t="shared" si="9"/>
        <v>6.8637894166534874E-2</v>
      </c>
      <c r="T13" s="135">
        <f>'Can O&amp;M price indexes'!N23</f>
        <v>1.2104167536102524</v>
      </c>
      <c r="U13" s="237"/>
      <c r="V13" s="239"/>
      <c r="W13" s="239"/>
      <c r="X13" s="239"/>
      <c r="Y13" s="240"/>
      <c r="Z13" s="240"/>
      <c r="AA13" s="240"/>
      <c r="AB13" s="240"/>
      <c r="AC13" s="240"/>
      <c r="AD13" s="240"/>
      <c r="AE13" s="240"/>
      <c r="AF13" s="240"/>
      <c r="AG13" s="240"/>
      <c r="AH13" s="240"/>
      <c r="AI13" s="240"/>
      <c r="AJ13" s="240"/>
      <c r="AK13" s="240"/>
      <c r="AL13" s="240"/>
      <c r="AM13" s="240"/>
      <c r="AN13" s="240"/>
      <c r="AO13" s="240"/>
      <c r="AP13" s="240"/>
      <c r="AQ13" s="240"/>
      <c r="AR13" s="240"/>
      <c r="AS13" s="240"/>
      <c r="AT13" s="240"/>
      <c r="AU13" s="240"/>
      <c r="AV13" s="240"/>
      <c r="AW13" s="240"/>
      <c r="AX13" s="240"/>
      <c r="AY13" s="240"/>
      <c r="AZ13" s="240"/>
      <c r="BA13" s="240"/>
      <c r="BB13" s="240"/>
      <c r="BC13" s="240"/>
      <c r="BD13" s="240"/>
      <c r="BE13" s="240"/>
      <c r="BF13" s="240"/>
      <c r="BG13" s="240"/>
      <c r="BH13" s="240"/>
    </row>
    <row r="14" spans="2:60">
      <c r="B14" s="2">
        <f t="shared" si="5"/>
        <v>1</v>
      </c>
      <c r="C14" s="2">
        <f t="shared" si="6"/>
        <v>0</v>
      </c>
      <c r="D14" s="2" t="s">
        <v>31</v>
      </c>
      <c r="E14" s="14">
        <v>2011</v>
      </c>
      <c r="F14" s="411">
        <v>6422</v>
      </c>
      <c r="G14" s="17">
        <f t="shared" si="0"/>
        <v>0.5396674495064766</v>
      </c>
      <c r="H14" s="412">
        <v>110456.35376672391</v>
      </c>
      <c r="I14" s="412">
        <v>64154.284907597321</v>
      </c>
      <c r="J14" s="3">
        <f t="shared" si="1"/>
        <v>174610.63867432124</v>
      </c>
      <c r="K14" s="17">
        <f>J14/$J$248</f>
        <v>0.1517752084325798</v>
      </c>
      <c r="L14" s="17">
        <f t="shared" si="2"/>
        <v>0.63258662018151102</v>
      </c>
      <c r="M14" s="411">
        <v>30359920.599999994</v>
      </c>
      <c r="N14" s="411">
        <v>1099541.3732</v>
      </c>
      <c r="O14" s="3">
        <f t="shared" si="3"/>
        <v>924930.7345256788</v>
      </c>
      <c r="P14" s="17">
        <f t="shared" si="7"/>
        <v>0.84119684540277817</v>
      </c>
      <c r="Q14" s="17">
        <f t="shared" si="8"/>
        <v>0.15880315459722183</v>
      </c>
      <c r="R14" s="108">
        <f t="shared" si="4"/>
        <v>0.10045675084081854</v>
      </c>
      <c r="S14" s="108">
        <f t="shared" si="9"/>
        <v>5.8346403756403292E-2</v>
      </c>
      <c r="T14" s="135">
        <f>'Can O&amp;M price indexes'!N24</f>
        <v>1.2315008058407915</v>
      </c>
      <c r="U14" s="237"/>
      <c r="V14" s="239"/>
      <c r="W14" s="239"/>
      <c r="X14" s="239"/>
      <c r="Y14" s="240"/>
      <c r="Z14" s="240"/>
      <c r="AA14" s="240"/>
      <c r="AB14" s="240"/>
      <c r="AC14" s="240"/>
      <c r="AD14" s="240"/>
      <c r="AE14" s="240"/>
      <c r="AF14" s="240"/>
      <c r="AG14" s="240"/>
      <c r="AH14" s="240"/>
      <c r="AI14" s="240"/>
      <c r="AJ14" s="240"/>
      <c r="AK14" s="240"/>
      <c r="AL14" s="240"/>
      <c r="AM14" s="240"/>
      <c r="AN14" s="240"/>
      <c r="AO14" s="240"/>
      <c r="AP14" s="240"/>
      <c r="AQ14" s="240"/>
      <c r="AR14" s="240"/>
      <c r="AS14" s="240"/>
      <c r="AT14" s="240"/>
      <c r="AU14" s="240"/>
      <c r="AV14" s="240"/>
      <c r="AW14" s="240"/>
      <c r="AX14" s="240"/>
      <c r="AY14" s="240"/>
      <c r="AZ14" s="240"/>
      <c r="BA14" s="240"/>
      <c r="BB14" s="240"/>
      <c r="BC14" s="240"/>
      <c r="BD14" s="240"/>
      <c r="BE14" s="240"/>
      <c r="BF14" s="240"/>
      <c r="BG14" s="240"/>
      <c r="BH14" s="240"/>
    </row>
    <row r="15" spans="2:60">
      <c r="B15" s="2">
        <f t="shared" si="5"/>
        <v>1</v>
      </c>
      <c r="C15" s="2">
        <f t="shared" si="6"/>
        <v>0</v>
      </c>
      <c r="D15" s="2" t="s">
        <v>31</v>
      </c>
      <c r="E15" s="14">
        <v>2012</v>
      </c>
      <c r="F15" s="411">
        <v>6422</v>
      </c>
      <c r="G15" s="17">
        <f t="shared" si="0"/>
        <v>0.50587583314491136</v>
      </c>
      <c r="H15" s="412">
        <v>115567.00224012346</v>
      </c>
      <c r="I15" s="412">
        <v>62567.194327740981</v>
      </c>
      <c r="J15" s="3">
        <f t="shared" si="1"/>
        <v>178134.19656786445</v>
      </c>
      <c r="K15" s="17">
        <f>J15/$J$249</f>
        <v>0.15009414442940835</v>
      </c>
      <c r="L15" s="17">
        <f t="shared" si="2"/>
        <v>0.64876370998252131</v>
      </c>
      <c r="M15" s="411">
        <v>28458915.099999998</v>
      </c>
      <c r="N15" s="411">
        <v>941858.41798999987</v>
      </c>
      <c r="O15" s="3">
        <f t="shared" si="3"/>
        <v>763724.22142213536</v>
      </c>
      <c r="P15" s="17">
        <f t="shared" si="7"/>
        <v>0.81086945429864399</v>
      </c>
      <c r="Q15" s="17">
        <f t="shared" si="8"/>
        <v>0.18913054570135601</v>
      </c>
      <c r="R15" s="108">
        <f t="shared" si="4"/>
        <v>0.12270103450023052</v>
      </c>
      <c r="S15" s="108">
        <f t="shared" si="9"/>
        <v>6.6429511201125488E-2</v>
      </c>
      <c r="T15" s="135">
        <f>'Can O&amp;M price indexes'!N25</f>
        <v>1.2501652753742629</v>
      </c>
      <c r="U15" s="237"/>
      <c r="V15" s="239"/>
      <c r="W15" s="239"/>
      <c r="X15" s="239"/>
      <c r="Y15" s="240"/>
      <c r="Z15" s="240"/>
      <c r="AA15" s="240"/>
      <c r="AB15" s="240"/>
      <c r="AC15" s="240"/>
      <c r="AD15" s="240"/>
      <c r="AE15" s="240"/>
      <c r="AF15" s="240"/>
      <c r="AG15" s="240"/>
      <c r="AH15" s="240"/>
      <c r="AI15" s="240"/>
      <c r="AJ15" s="240"/>
      <c r="AK15" s="240"/>
      <c r="AL15" s="240"/>
      <c r="AM15" s="240"/>
      <c r="AN15" s="240"/>
      <c r="AO15" s="240"/>
      <c r="AP15" s="240"/>
      <c r="AQ15" s="240"/>
      <c r="AR15" s="240"/>
      <c r="AS15" s="240"/>
      <c r="AT15" s="240"/>
      <c r="AU15" s="240"/>
      <c r="AV15" s="240"/>
      <c r="AW15" s="240"/>
      <c r="AX15" s="240"/>
      <c r="AY15" s="240"/>
      <c r="AZ15" s="240"/>
      <c r="BA15" s="240"/>
      <c r="BB15" s="240"/>
      <c r="BC15" s="240"/>
      <c r="BD15" s="240"/>
      <c r="BE15" s="240"/>
      <c r="BF15" s="240"/>
      <c r="BG15" s="240"/>
      <c r="BH15" s="240"/>
    </row>
    <row r="16" spans="2:60">
      <c r="B16" s="2">
        <f t="shared" si="5"/>
        <v>1</v>
      </c>
      <c r="C16" s="2">
        <f t="shared" si="6"/>
        <v>0</v>
      </c>
      <c r="D16" s="2" t="s">
        <v>31</v>
      </c>
      <c r="E16" s="14">
        <v>2013</v>
      </c>
      <c r="F16" s="411">
        <v>6433</v>
      </c>
      <c r="G16" s="17">
        <f t="shared" si="0"/>
        <v>0.53852233098882973</v>
      </c>
      <c r="H16" s="412">
        <v>121788.66470000001</v>
      </c>
      <c r="I16" s="412">
        <v>60795.025349999996</v>
      </c>
      <c r="J16" s="3">
        <f t="shared" si="1"/>
        <v>182583.69005</v>
      </c>
      <c r="K16" s="17">
        <f>J16/$J$250</f>
        <v>0.15560703300954221</v>
      </c>
      <c r="L16" s="17">
        <f t="shared" si="2"/>
        <v>0.66702926568440224</v>
      </c>
      <c r="M16" s="411">
        <v>30347392</v>
      </c>
      <c r="N16" s="411">
        <v>1127001.4199100002</v>
      </c>
      <c r="O16" s="3">
        <f t="shared" ref="O16:O17" si="10">N16-J16</f>
        <v>944417.7298600002</v>
      </c>
      <c r="P16" s="17">
        <f t="shared" ref="P16:P17" si="11">O16/N16</f>
        <v>0.83799160602248335</v>
      </c>
      <c r="Q16" s="17">
        <f t="shared" ref="Q16:Q17" si="12">1-P16</f>
        <v>0.16200839397751665</v>
      </c>
      <c r="R16" s="108">
        <f t="shared" ref="R16:R17" si="13">Q16*L16</f>
        <v>0.10806434006953226</v>
      </c>
      <c r="S16" s="108">
        <f t="shared" ref="S16:S17" si="14">Q16-R16</f>
        <v>5.3944053907984388E-2</v>
      </c>
      <c r="T16" s="135">
        <f>'Can O&amp;M price indexes'!N26</f>
        <v>1.2704232442229755</v>
      </c>
      <c r="U16" s="237"/>
      <c r="V16" s="239"/>
      <c r="W16" s="239"/>
      <c r="X16" s="239"/>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0"/>
      <c r="AU16" s="240"/>
      <c r="AV16" s="240"/>
      <c r="AW16" s="240"/>
      <c r="AX16" s="240"/>
      <c r="AY16" s="240"/>
      <c r="AZ16" s="240"/>
      <c r="BA16" s="240"/>
      <c r="BB16" s="240"/>
      <c r="BC16" s="240"/>
      <c r="BD16" s="240"/>
      <c r="BE16" s="240"/>
      <c r="BF16" s="240"/>
      <c r="BG16" s="240"/>
      <c r="BH16" s="240"/>
    </row>
    <row r="17" spans="2:60">
      <c r="B17" s="2">
        <f t="shared" si="5"/>
        <v>1</v>
      </c>
      <c r="C17" s="2">
        <f t="shared" si="6"/>
        <v>0</v>
      </c>
      <c r="D17" s="2" t="s">
        <v>31</v>
      </c>
      <c r="E17" s="14">
        <v>2014</v>
      </c>
      <c r="F17" s="411">
        <v>6433</v>
      </c>
      <c r="G17" s="17">
        <f t="shared" si="0"/>
        <v>0.54345920400446612</v>
      </c>
      <c r="H17" s="412">
        <v>119906.76461697961</v>
      </c>
      <c r="I17" s="412">
        <v>68112.906172668241</v>
      </c>
      <c r="J17" s="3">
        <f t="shared" si="1"/>
        <v>188019.67078964785</v>
      </c>
      <c r="K17" s="17">
        <f>J17/$J$251</f>
        <v>0.15619891354957582</v>
      </c>
      <c r="L17" s="17">
        <f t="shared" si="2"/>
        <v>0.63773521203070593</v>
      </c>
      <c r="M17" s="411">
        <v>30625600</v>
      </c>
      <c r="N17" s="411">
        <v>1310091.24125</v>
      </c>
      <c r="O17" s="3">
        <f t="shared" si="10"/>
        <v>1122071.5704603521</v>
      </c>
      <c r="P17" s="17">
        <f t="shared" si="11"/>
        <v>0.85648352964313212</v>
      </c>
      <c r="Q17" s="17">
        <f t="shared" si="12"/>
        <v>0.14351647035686788</v>
      </c>
      <c r="R17" s="108">
        <f t="shared" si="13"/>
        <v>9.1525506652935656E-2</v>
      </c>
      <c r="S17" s="108">
        <f t="shared" si="14"/>
        <v>5.1990963703932219E-2</v>
      </c>
      <c r="T17" s="135">
        <f>'Can O&amp;M price indexes'!N27</f>
        <v>1.296459337573129</v>
      </c>
      <c r="U17" s="237"/>
      <c r="V17" s="239"/>
      <c r="W17" s="239"/>
      <c r="X17" s="239"/>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240"/>
      <c r="BF17" s="240"/>
      <c r="BG17" s="240"/>
      <c r="BH17" s="240"/>
    </row>
    <row r="18" spans="2:60">
      <c r="B18" s="69">
        <f>'OPG hydro peers'!B5</f>
        <v>1</v>
      </c>
      <c r="C18" s="69">
        <f t="shared" ref="C18:C55" si="15">IF(D18=D17,C17,C17+1)</f>
        <v>1</v>
      </c>
      <c r="D18" s="69" t="str">
        <f>'OPG hydro peers'!D5</f>
        <v>PG&amp;E</v>
      </c>
      <c r="E18" s="70">
        <v>2002</v>
      </c>
      <c r="F18" s="388">
        <v>3578</v>
      </c>
      <c r="G18" s="76">
        <f t="shared" ref="G18:G30" si="16">M18/(F18*8760)</f>
        <v>0.32144884007034363</v>
      </c>
      <c r="H18" s="71"/>
      <c r="I18" s="71"/>
      <c r="J18" s="388">
        <v>73604.922000000006</v>
      </c>
      <c r="K18" s="76">
        <f>J18/$J$239</f>
        <v>0.1034117690664276</v>
      </c>
      <c r="L18" s="76"/>
      <c r="M18" s="388">
        <v>10075261</v>
      </c>
      <c r="N18" s="388">
        <v>301224.89378184068</v>
      </c>
      <c r="O18" s="71">
        <f t="shared" ref="O18:O28" si="17">N18-J18</f>
        <v>227619.97178184066</v>
      </c>
      <c r="P18" s="76">
        <f>O18/N18</f>
        <v>0.75564794437836968</v>
      </c>
      <c r="Q18" s="76">
        <f>1-P18</f>
        <v>0.24435205562163032</v>
      </c>
      <c r="R18" s="126">
        <f t="shared" ref="R18:R28" si="18">Q18*L18</f>
        <v>0</v>
      </c>
      <c r="S18" s="126">
        <f>Q18-R18</f>
        <v>0.24435205562163032</v>
      </c>
      <c r="T18" s="126">
        <f>R18-S18</f>
        <v>-0.24435205562163032</v>
      </c>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row>
    <row r="19" spans="2:60">
      <c r="B19" s="69">
        <f t="shared" ref="B19:B30" si="19">B18</f>
        <v>1</v>
      </c>
      <c r="C19" s="69">
        <f t="shared" si="15"/>
        <v>1</v>
      </c>
      <c r="D19" s="69" t="str">
        <f t="shared" ref="D19:D30" si="20">D18</f>
        <v>PG&amp;E</v>
      </c>
      <c r="E19" s="70">
        <v>2003</v>
      </c>
      <c r="F19" s="388">
        <v>3578</v>
      </c>
      <c r="G19" s="76">
        <f t="shared" si="16"/>
        <v>0.36710018862097393</v>
      </c>
      <c r="H19" s="71"/>
      <c r="I19" s="71"/>
      <c r="J19" s="388">
        <v>86473.644480000003</v>
      </c>
      <c r="K19" s="76">
        <f>J19/$J$240</f>
        <v>0.10852543120660187</v>
      </c>
      <c r="L19" s="76"/>
      <c r="M19" s="388">
        <v>11506124</v>
      </c>
      <c r="N19" s="388">
        <v>464670.22848413984</v>
      </c>
      <c r="O19" s="71">
        <f t="shared" si="17"/>
        <v>378196.58400413982</v>
      </c>
      <c r="P19" s="76">
        <f t="shared" ref="P19:P28" si="21">O19/N19</f>
        <v>0.81390319590283033</v>
      </c>
      <c r="Q19" s="76">
        <f t="shared" ref="Q19:Q28" si="22">1-P19</f>
        <v>0.18609680409716967</v>
      </c>
      <c r="R19" s="126">
        <f t="shared" si="18"/>
        <v>0</v>
      </c>
      <c r="S19" s="126">
        <f t="shared" ref="S19:T28" si="23">Q19-R19</f>
        <v>0.18609680409716967</v>
      </c>
      <c r="T19" s="126">
        <f t="shared" si="23"/>
        <v>-0.18609680409716967</v>
      </c>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40"/>
      <c r="AZ19" s="240"/>
      <c r="BA19" s="240"/>
      <c r="BB19" s="240"/>
      <c r="BC19" s="240"/>
      <c r="BD19" s="240"/>
      <c r="BE19" s="240"/>
      <c r="BF19" s="240"/>
      <c r="BG19" s="240"/>
      <c r="BH19" s="240"/>
    </row>
    <row r="20" spans="2:60">
      <c r="B20" s="69">
        <f t="shared" si="19"/>
        <v>1</v>
      </c>
      <c r="C20" s="69">
        <f t="shared" si="15"/>
        <v>1</v>
      </c>
      <c r="D20" s="69" t="str">
        <f t="shared" si="20"/>
        <v>PG&amp;E</v>
      </c>
      <c r="E20" s="70">
        <v>2004</v>
      </c>
      <c r="F20" s="388">
        <v>3578</v>
      </c>
      <c r="G20" s="76">
        <f t="shared" si="16"/>
        <v>0.33835061295435576</v>
      </c>
      <c r="H20" s="71"/>
      <c r="I20" s="71"/>
      <c r="J20" s="388">
        <v>85405.054919999995</v>
      </c>
      <c r="K20" s="76">
        <f>J20/$J$241</f>
        <v>0.1039851084656979</v>
      </c>
      <c r="L20" s="76"/>
      <c r="M20" s="388">
        <v>10605018</v>
      </c>
      <c r="N20" s="388">
        <v>462125.81081457785</v>
      </c>
      <c r="O20" s="71">
        <f t="shared" si="17"/>
        <v>376720.75589457783</v>
      </c>
      <c r="P20" s="76">
        <f t="shared" si="21"/>
        <v>0.81519090057000143</v>
      </c>
      <c r="Q20" s="76">
        <f t="shared" si="22"/>
        <v>0.18480909942999857</v>
      </c>
      <c r="R20" s="126">
        <f t="shared" si="18"/>
        <v>0</v>
      </c>
      <c r="S20" s="126">
        <f t="shared" si="23"/>
        <v>0.18480909942999857</v>
      </c>
      <c r="T20" s="126">
        <f t="shared" si="23"/>
        <v>-0.18480909942999857</v>
      </c>
      <c r="U20" s="240"/>
      <c r="V20" s="240"/>
      <c r="W20" s="240"/>
      <c r="X20" s="240"/>
      <c r="Y20" s="240"/>
      <c r="Z20" s="240"/>
      <c r="AA20" s="240"/>
      <c r="AB20" s="240"/>
      <c r="AC20" s="240"/>
      <c r="AD20" s="240"/>
      <c r="AE20" s="240"/>
      <c r="AF20" s="240"/>
      <c r="AG20" s="240"/>
      <c r="AH20" s="240"/>
      <c r="AI20" s="240"/>
      <c r="AJ20" s="240"/>
      <c r="AK20" s="240"/>
      <c r="AL20" s="240"/>
      <c r="AM20" s="240"/>
      <c r="AN20" s="240"/>
      <c r="AO20" s="240"/>
      <c r="AP20" s="240"/>
      <c r="AQ20" s="240"/>
      <c r="AR20" s="240"/>
      <c r="AS20" s="240"/>
      <c r="AT20" s="240"/>
      <c r="AU20" s="240"/>
      <c r="AV20" s="240"/>
      <c r="AW20" s="240"/>
      <c r="AX20" s="240"/>
      <c r="AY20" s="240"/>
      <c r="AZ20" s="240"/>
      <c r="BA20" s="240"/>
      <c r="BB20" s="240"/>
      <c r="BC20" s="240"/>
      <c r="BD20" s="240"/>
      <c r="BE20" s="240"/>
      <c r="BF20" s="240"/>
      <c r="BG20" s="240"/>
      <c r="BH20" s="240"/>
    </row>
    <row r="21" spans="2:60">
      <c r="B21" s="69">
        <f t="shared" si="19"/>
        <v>1</v>
      </c>
      <c r="C21" s="69">
        <f t="shared" si="15"/>
        <v>1</v>
      </c>
      <c r="D21" s="69" t="str">
        <f t="shared" si="20"/>
        <v>PG&amp;E</v>
      </c>
      <c r="E21" s="70">
        <v>2005</v>
      </c>
      <c r="F21" s="388">
        <v>3578</v>
      </c>
      <c r="G21" s="76">
        <f t="shared" si="16"/>
        <v>0.38865060000102092</v>
      </c>
      <c r="H21" s="71"/>
      <c r="I21" s="71"/>
      <c r="J21" s="388">
        <v>84426.819930000012</v>
      </c>
      <c r="K21" s="76">
        <f>J21/$J$242</f>
        <v>9.7339223964799826E-2</v>
      </c>
      <c r="L21" s="76"/>
      <c r="M21" s="388">
        <v>12181584.578</v>
      </c>
      <c r="N21" s="388">
        <v>752856.29426901357</v>
      </c>
      <c r="O21" s="71">
        <f t="shared" si="17"/>
        <v>668429.47433901357</v>
      </c>
      <c r="P21" s="76">
        <f t="shared" si="21"/>
        <v>0.88785798754332756</v>
      </c>
      <c r="Q21" s="76">
        <f t="shared" si="22"/>
        <v>0.11214201245667244</v>
      </c>
      <c r="R21" s="126">
        <f t="shared" si="18"/>
        <v>0</v>
      </c>
      <c r="S21" s="126">
        <f t="shared" si="23"/>
        <v>0.11214201245667244</v>
      </c>
      <c r="T21" s="126">
        <f t="shared" si="23"/>
        <v>-0.11214201245667244</v>
      </c>
      <c r="U21" s="240"/>
      <c r="V21" s="240"/>
      <c r="W21" s="240"/>
      <c r="X21" s="240"/>
      <c r="Y21" s="240"/>
      <c r="Z21" s="240"/>
      <c r="AA21" s="240"/>
      <c r="AB21" s="240"/>
      <c r="AC21" s="240"/>
      <c r="AD21" s="240"/>
      <c r="AE21" s="240"/>
      <c r="AF21" s="240"/>
      <c r="AG21" s="240"/>
      <c r="AH21" s="240"/>
      <c r="AI21" s="240"/>
      <c r="AJ21" s="240"/>
      <c r="AK21" s="240"/>
      <c r="AL21" s="240"/>
      <c r="AM21" s="240"/>
      <c r="AN21" s="240"/>
      <c r="AO21" s="240"/>
      <c r="AP21" s="240"/>
      <c r="AQ21" s="240"/>
      <c r="AR21" s="240"/>
      <c r="AS21" s="240"/>
      <c r="AT21" s="240"/>
      <c r="AU21" s="240"/>
      <c r="AV21" s="240"/>
      <c r="AW21" s="240"/>
      <c r="AX21" s="240"/>
      <c r="AY21" s="240"/>
      <c r="AZ21" s="240"/>
      <c r="BA21" s="240"/>
      <c r="BB21" s="240"/>
      <c r="BC21" s="240"/>
      <c r="BD21" s="240"/>
      <c r="BE21" s="240"/>
      <c r="BF21" s="240"/>
      <c r="BG21" s="240"/>
      <c r="BH21" s="240"/>
    </row>
    <row r="22" spans="2:60">
      <c r="B22" s="69">
        <f t="shared" si="19"/>
        <v>1</v>
      </c>
      <c r="C22" s="69">
        <f t="shared" si="15"/>
        <v>1</v>
      </c>
      <c r="D22" s="69" t="str">
        <f t="shared" si="20"/>
        <v>PG&amp;E</v>
      </c>
      <c r="E22" s="70">
        <v>2006</v>
      </c>
      <c r="F22" s="388">
        <v>3578</v>
      </c>
      <c r="G22" s="76">
        <f t="shared" si="16"/>
        <v>0.45769552341044079</v>
      </c>
      <c r="H22" s="71"/>
      <c r="I22" s="71"/>
      <c r="J22" s="388">
        <v>76536.088260000004</v>
      </c>
      <c r="K22" s="76">
        <f>J22/$J$243</f>
        <v>8.3794348045765146E-2</v>
      </c>
      <c r="L22" s="76"/>
      <c r="M22" s="388">
        <v>14345678.945</v>
      </c>
      <c r="N22" s="388">
        <v>707159.9691468383</v>
      </c>
      <c r="O22" s="71">
        <f t="shared" si="17"/>
        <v>630623.88088683831</v>
      </c>
      <c r="P22" s="76">
        <f t="shared" si="21"/>
        <v>0.89176976695621235</v>
      </c>
      <c r="Q22" s="76">
        <f t="shared" si="22"/>
        <v>0.10823023304378765</v>
      </c>
      <c r="R22" s="126">
        <f t="shared" si="18"/>
        <v>0</v>
      </c>
      <c r="S22" s="126">
        <f t="shared" si="23"/>
        <v>0.10823023304378765</v>
      </c>
      <c r="T22" s="126">
        <f t="shared" si="23"/>
        <v>-0.10823023304378765</v>
      </c>
      <c r="U22" s="240"/>
      <c r="V22" s="240"/>
      <c r="W22" s="240"/>
      <c r="X22" s="240"/>
      <c r="Y22" s="240"/>
      <c r="Z22" s="240"/>
      <c r="AA22" s="240"/>
      <c r="AB22" s="240"/>
      <c r="AC22" s="240"/>
      <c r="AD22" s="240"/>
      <c r="AE22" s="240"/>
      <c r="AF22" s="240"/>
      <c r="AG22" s="240"/>
      <c r="AH22" s="240"/>
      <c r="AI22" s="240"/>
      <c r="AJ22" s="240"/>
      <c r="AK22" s="240"/>
      <c r="AL22" s="240"/>
      <c r="AM22" s="240"/>
      <c r="AN22" s="240"/>
      <c r="AO22" s="240"/>
      <c r="AP22" s="240"/>
      <c r="AQ22" s="240"/>
      <c r="AR22" s="240"/>
      <c r="AS22" s="240"/>
      <c r="AT22" s="240"/>
      <c r="AU22" s="240"/>
      <c r="AV22" s="240"/>
      <c r="AW22" s="240"/>
      <c r="AX22" s="240"/>
      <c r="AY22" s="240"/>
      <c r="AZ22" s="240"/>
      <c r="BA22" s="240"/>
      <c r="BB22" s="240"/>
      <c r="BC22" s="240"/>
      <c r="BD22" s="240"/>
      <c r="BE22" s="240"/>
      <c r="BF22" s="240"/>
      <c r="BG22" s="240"/>
      <c r="BH22" s="240"/>
    </row>
    <row r="23" spans="2:60">
      <c r="B23" s="69">
        <f t="shared" si="19"/>
        <v>1</v>
      </c>
      <c r="C23" s="69">
        <f t="shared" si="15"/>
        <v>1</v>
      </c>
      <c r="D23" s="69" t="str">
        <f t="shared" si="20"/>
        <v>PG&amp;E</v>
      </c>
      <c r="E23" s="70">
        <v>2007</v>
      </c>
      <c r="F23" s="388">
        <v>3578</v>
      </c>
      <c r="G23" s="76">
        <f t="shared" si="16"/>
        <v>0.25835035293051656</v>
      </c>
      <c r="H23" s="71"/>
      <c r="I23" s="71"/>
      <c r="J23" s="388">
        <v>101325.88094999999</v>
      </c>
      <c r="K23" s="76">
        <f>J23/$J$244</f>
        <v>0.10186206201134414</v>
      </c>
      <c r="L23" s="76"/>
      <c r="M23" s="388">
        <v>8097547.4500000002</v>
      </c>
      <c r="N23" s="388">
        <v>508252.9828766897</v>
      </c>
      <c r="O23" s="71">
        <f t="shared" si="17"/>
        <v>406927.10192668973</v>
      </c>
      <c r="P23" s="76">
        <f t="shared" si="21"/>
        <v>0.80063888582315856</v>
      </c>
      <c r="Q23" s="76">
        <f t="shared" si="22"/>
        <v>0.19936111417684144</v>
      </c>
      <c r="R23" s="126">
        <f t="shared" si="18"/>
        <v>0</v>
      </c>
      <c r="S23" s="126">
        <f t="shared" si="23"/>
        <v>0.19936111417684144</v>
      </c>
      <c r="T23" s="126">
        <f t="shared" si="23"/>
        <v>-0.19936111417684144</v>
      </c>
      <c r="U23" s="240"/>
      <c r="V23" s="240"/>
      <c r="W23" s="240"/>
      <c r="X23" s="240"/>
      <c r="Y23" s="240"/>
      <c r="Z23" s="240"/>
      <c r="AA23" s="240"/>
      <c r="AB23" s="240"/>
      <c r="AC23" s="240"/>
      <c r="AD23" s="240"/>
      <c r="AE23" s="240"/>
      <c r="AF23" s="240"/>
      <c r="AG23" s="240"/>
      <c r="AH23" s="240"/>
      <c r="AI23" s="240"/>
      <c r="AJ23" s="240"/>
      <c r="AK23" s="240"/>
      <c r="AL23" s="240"/>
      <c r="AM23" s="240"/>
      <c r="AN23" s="240"/>
      <c r="AO23" s="240"/>
      <c r="AP23" s="240"/>
      <c r="AQ23" s="240"/>
      <c r="AR23" s="240"/>
      <c r="AS23" s="240"/>
      <c r="AT23" s="240"/>
      <c r="AU23" s="240"/>
      <c r="AV23" s="240"/>
      <c r="AW23" s="240"/>
      <c r="AX23" s="240"/>
      <c r="AY23" s="240"/>
      <c r="AZ23" s="240"/>
      <c r="BA23" s="240"/>
      <c r="BB23" s="240"/>
      <c r="BC23" s="240"/>
      <c r="BD23" s="240"/>
      <c r="BE23" s="240"/>
      <c r="BF23" s="240"/>
      <c r="BG23" s="240"/>
      <c r="BH23" s="240"/>
    </row>
    <row r="24" spans="2:60">
      <c r="B24" s="69">
        <f t="shared" si="19"/>
        <v>1</v>
      </c>
      <c r="C24" s="69">
        <f t="shared" si="15"/>
        <v>1</v>
      </c>
      <c r="D24" s="69" t="str">
        <f t="shared" si="20"/>
        <v>PG&amp;E</v>
      </c>
      <c r="E24" s="70">
        <v>2008</v>
      </c>
      <c r="F24" s="388">
        <v>3578</v>
      </c>
      <c r="G24" s="76">
        <f t="shared" si="16"/>
        <v>0.25987209858062077</v>
      </c>
      <c r="H24" s="71"/>
      <c r="I24" s="71"/>
      <c r="J24" s="388">
        <v>109375.75125</v>
      </c>
      <c r="K24" s="76">
        <f>J24/$J$245</f>
        <v>0.10094642456684121</v>
      </c>
      <c r="L24" s="76"/>
      <c r="M24" s="388">
        <v>8145243.9499999993</v>
      </c>
      <c r="N24" s="388">
        <v>725807.2825708458</v>
      </c>
      <c r="O24" s="71">
        <f t="shared" si="17"/>
        <v>616431.53132084582</v>
      </c>
      <c r="P24" s="76">
        <f t="shared" si="21"/>
        <v>0.84930469302734801</v>
      </c>
      <c r="Q24" s="76">
        <f t="shared" si="22"/>
        <v>0.15069530697265199</v>
      </c>
      <c r="R24" s="126">
        <f t="shared" si="18"/>
        <v>0</v>
      </c>
      <c r="S24" s="126">
        <f t="shared" si="23"/>
        <v>0.15069530697265199</v>
      </c>
      <c r="T24" s="126">
        <f t="shared" si="23"/>
        <v>-0.15069530697265199</v>
      </c>
      <c r="U24" s="240"/>
      <c r="V24" s="240"/>
      <c r="W24" s="240"/>
      <c r="X24" s="240"/>
      <c r="Y24" s="240"/>
      <c r="Z24" s="240"/>
      <c r="AA24" s="240"/>
      <c r="AB24" s="240"/>
      <c r="AC24" s="240"/>
      <c r="AD24" s="240"/>
      <c r="AE24" s="240"/>
      <c r="AF24" s="240"/>
      <c r="AG24" s="240"/>
      <c r="AH24" s="240"/>
      <c r="AI24" s="240"/>
      <c r="AJ24" s="240"/>
      <c r="AK24" s="240"/>
      <c r="AL24" s="240"/>
      <c r="AM24" s="240"/>
      <c r="AN24" s="240"/>
      <c r="AO24" s="240"/>
      <c r="AP24" s="240"/>
      <c r="AQ24" s="240"/>
      <c r="AR24" s="240"/>
      <c r="AS24" s="240"/>
      <c r="AT24" s="240"/>
      <c r="AU24" s="240"/>
      <c r="AV24" s="240"/>
      <c r="AW24" s="240"/>
      <c r="AX24" s="240"/>
      <c r="AY24" s="240"/>
      <c r="AZ24" s="240"/>
      <c r="BA24" s="240"/>
      <c r="BB24" s="240"/>
      <c r="BC24" s="240"/>
      <c r="BD24" s="240"/>
      <c r="BE24" s="240"/>
      <c r="BF24" s="240"/>
      <c r="BG24" s="240"/>
      <c r="BH24" s="240"/>
    </row>
    <row r="25" spans="2:60">
      <c r="B25" s="69">
        <f t="shared" si="19"/>
        <v>1</v>
      </c>
      <c r="C25" s="69">
        <f t="shared" si="15"/>
        <v>1</v>
      </c>
      <c r="D25" s="69" t="str">
        <f t="shared" si="20"/>
        <v>PG&amp;E</v>
      </c>
      <c r="E25" s="70">
        <v>2009</v>
      </c>
      <c r="F25" s="388">
        <v>3578</v>
      </c>
      <c r="G25" s="76">
        <f t="shared" si="16"/>
        <v>0.28482653717160422</v>
      </c>
      <c r="H25" s="71"/>
      <c r="I25" s="71"/>
      <c r="J25" s="388">
        <v>109621.27032</v>
      </c>
      <c r="K25" s="76">
        <f>J25/$J$246</f>
        <v>0.10212840350862946</v>
      </c>
      <c r="L25" s="76"/>
      <c r="M25" s="388">
        <v>8927397.9059999995</v>
      </c>
      <c r="N25" s="388">
        <v>363178.47272082069</v>
      </c>
      <c r="O25" s="71">
        <f t="shared" si="17"/>
        <v>253557.20240082068</v>
      </c>
      <c r="P25" s="76">
        <f t="shared" si="21"/>
        <v>0.69816143148917553</v>
      </c>
      <c r="Q25" s="76">
        <f t="shared" si="22"/>
        <v>0.30183856851082447</v>
      </c>
      <c r="R25" s="126">
        <f t="shared" si="18"/>
        <v>0</v>
      </c>
      <c r="S25" s="126">
        <f t="shared" si="23"/>
        <v>0.30183856851082447</v>
      </c>
      <c r="T25" s="126">
        <f t="shared" si="23"/>
        <v>-0.30183856851082447</v>
      </c>
      <c r="U25" s="240"/>
      <c r="V25" s="240"/>
      <c r="W25" s="240"/>
      <c r="X25" s="240"/>
      <c r="Y25" s="240"/>
      <c r="Z25" s="240"/>
      <c r="AA25" s="240"/>
      <c r="AB25" s="240"/>
      <c r="AC25" s="240"/>
      <c r="AD25" s="240"/>
      <c r="AE25" s="240"/>
      <c r="AF25" s="240"/>
      <c r="AG25" s="240"/>
      <c r="AH25" s="240"/>
      <c r="AI25" s="240"/>
      <c r="AJ25" s="240"/>
      <c r="AK25" s="240"/>
      <c r="AL25" s="240"/>
      <c r="AM25" s="240"/>
      <c r="AN25" s="240"/>
      <c r="AO25" s="240"/>
      <c r="AP25" s="240"/>
      <c r="AQ25" s="240"/>
      <c r="AR25" s="240"/>
      <c r="AS25" s="240"/>
      <c r="AT25" s="240"/>
      <c r="AU25" s="240"/>
      <c r="AV25" s="240"/>
      <c r="AW25" s="240"/>
      <c r="AX25" s="240"/>
      <c r="AY25" s="240"/>
      <c r="AZ25" s="240"/>
      <c r="BA25" s="240"/>
      <c r="BB25" s="240"/>
      <c r="BC25" s="240"/>
      <c r="BD25" s="240"/>
      <c r="BE25" s="240"/>
      <c r="BF25" s="240"/>
      <c r="BG25" s="240"/>
      <c r="BH25" s="240"/>
    </row>
    <row r="26" spans="2:60">
      <c r="B26" s="69">
        <f t="shared" si="19"/>
        <v>1</v>
      </c>
      <c r="C26" s="69">
        <f t="shared" si="15"/>
        <v>1</v>
      </c>
      <c r="D26" s="69" t="str">
        <f t="shared" si="20"/>
        <v>PG&amp;E</v>
      </c>
      <c r="E26" s="70">
        <v>2010</v>
      </c>
      <c r="F26" s="388">
        <v>3578</v>
      </c>
      <c r="G26" s="76">
        <f t="shared" si="16"/>
        <v>0.33455051350720155</v>
      </c>
      <c r="H26" s="71"/>
      <c r="I26" s="71"/>
      <c r="J26" s="388">
        <v>111628.14201</v>
      </c>
      <c r="K26" s="76">
        <f>J26/$J$247</f>
        <v>9.6834457910404848E-2</v>
      </c>
      <c r="L26" s="76"/>
      <c r="M26" s="388">
        <v>10485910.419</v>
      </c>
      <c r="N26" s="388">
        <v>436466.27453160833</v>
      </c>
      <c r="O26" s="71">
        <f t="shared" si="17"/>
        <v>324838.13252160832</v>
      </c>
      <c r="P26" s="76">
        <f t="shared" si="21"/>
        <v>0.74424566450227292</v>
      </c>
      <c r="Q26" s="76">
        <f t="shared" si="22"/>
        <v>0.25575433549772708</v>
      </c>
      <c r="R26" s="126">
        <f t="shared" si="18"/>
        <v>0</v>
      </c>
      <c r="S26" s="126">
        <f t="shared" si="23"/>
        <v>0.25575433549772708</v>
      </c>
      <c r="T26" s="126">
        <f t="shared" si="23"/>
        <v>-0.25575433549772708</v>
      </c>
      <c r="U26" s="240"/>
      <c r="V26" s="240"/>
      <c r="W26" s="240"/>
      <c r="X26" s="240"/>
      <c r="Y26" s="240"/>
      <c r="Z26" s="240"/>
      <c r="AA26" s="240"/>
      <c r="AB26" s="240"/>
      <c r="AC26" s="240"/>
      <c r="AD26" s="240"/>
      <c r="AE26" s="240"/>
      <c r="AF26" s="240"/>
      <c r="AG26" s="240"/>
      <c r="AH26" s="240"/>
      <c r="AI26" s="240"/>
      <c r="AJ26" s="240"/>
      <c r="AK26" s="240"/>
      <c r="AL26" s="240"/>
      <c r="AM26" s="240"/>
      <c r="AN26" s="240"/>
      <c r="AO26" s="240"/>
      <c r="AP26" s="240"/>
      <c r="AQ26" s="240"/>
      <c r="AR26" s="240"/>
      <c r="AS26" s="240"/>
      <c r="AT26" s="240"/>
      <c r="AU26" s="240"/>
      <c r="AV26" s="240"/>
      <c r="AW26" s="240"/>
      <c r="AX26" s="240"/>
      <c r="AY26" s="240"/>
      <c r="AZ26" s="240"/>
      <c r="BA26" s="240"/>
      <c r="BB26" s="240"/>
      <c r="BC26" s="240"/>
      <c r="BD26" s="240"/>
      <c r="BE26" s="240"/>
      <c r="BF26" s="240"/>
      <c r="BG26" s="240"/>
      <c r="BH26" s="240"/>
    </row>
    <row r="27" spans="2:60">
      <c r="B27" s="69">
        <f t="shared" si="19"/>
        <v>1</v>
      </c>
      <c r="C27" s="69">
        <f t="shared" si="15"/>
        <v>1</v>
      </c>
      <c r="D27" s="69" t="str">
        <f t="shared" si="20"/>
        <v>PG&amp;E</v>
      </c>
      <c r="E27" s="70">
        <v>2011</v>
      </c>
      <c r="F27" s="388">
        <v>3578</v>
      </c>
      <c r="G27" s="76">
        <f t="shared" si="16"/>
        <v>0.38434691190583758</v>
      </c>
      <c r="H27" s="71"/>
      <c r="I27" s="71"/>
      <c r="J27" s="388">
        <v>116739.90147</v>
      </c>
      <c r="K27" s="76">
        <f>J27/$J$248</f>
        <v>0.1014727568292995</v>
      </c>
      <c r="L27" s="76"/>
      <c r="M27" s="388">
        <v>12046692.877</v>
      </c>
      <c r="N27" s="388">
        <v>432483.2787308151</v>
      </c>
      <c r="O27" s="71">
        <f t="shared" si="17"/>
        <v>315743.37726081512</v>
      </c>
      <c r="P27" s="76">
        <f t="shared" si="21"/>
        <v>0.73007071669316292</v>
      </c>
      <c r="Q27" s="76">
        <f t="shared" si="22"/>
        <v>0.26992928330683708</v>
      </c>
      <c r="R27" s="126">
        <f t="shared" si="18"/>
        <v>0</v>
      </c>
      <c r="S27" s="126">
        <f t="shared" si="23"/>
        <v>0.26992928330683708</v>
      </c>
      <c r="T27" s="126">
        <f t="shared" si="23"/>
        <v>-0.26992928330683708</v>
      </c>
      <c r="U27" s="240"/>
      <c r="V27" s="240"/>
      <c r="W27" s="240"/>
      <c r="X27" s="240"/>
      <c r="Y27" s="240"/>
      <c r="Z27" s="240"/>
      <c r="AA27" s="240"/>
      <c r="AB27" s="240"/>
      <c r="AC27" s="240"/>
      <c r="AD27" s="240"/>
      <c r="AE27" s="240"/>
      <c r="AF27" s="240"/>
      <c r="AG27" s="240"/>
      <c r="AH27" s="240"/>
      <c r="AI27" s="240"/>
      <c r="AJ27" s="240"/>
      <c r="AK27" s="240"/>
      <c r="AL27" s="240"/>
      <c r="AM27" s="240"/>
      <c r="AN27" s="240"/>
      <c r="AO27" s="240"/>
      <c r="AP27" s="240"/>
      <c r="AQ27" s="240"/>
      <c r="AR27" s="240"/>
      <c r="AS27" s="240"/>
      <c r="AT27" s="240"/>
      <c r="AU27" s="240"/>
      <c r="AV27" s="240"/>
      <c r="AW27" s="240"/>
      <c r="AX27" s="240"/>
      <c r="AY27" s="240"/>
      <c r="AZ27" s="240"/>
      <c r="BA27" s="240"/>
      <c r="BB27" s="240"/>
      <c r="BC27" s="240"/>
      <c r="BD27" s="240"/>
      <c r="BE27" s="240"/>
      <c r="BF27" s="240"/>
      <c r="BG27" s="240"/>
      <c r="BH27" s="240"/>
    </row>
    <row r="28" spans="2:60">
      <c r="B28" s="69">
        <f t="shared" si="19"/>
        <v>1</v>
      </c>
      <c r="C28" s="69">
        <f t="shared" si="15"/>
        <v>1</v>
      </c>
      <c r="D28" s="69" t="str">
        <f t="shared" si="20"/>
        <v>PG&amp;E</v>
      </c>
      <c r="E28" s="70">
        <v>2012</v>
      </c>
      <c r="F28" s="388">
        <v>3578</v>
      </c>
      <c r="G28" s="76">
        <f t="shared" si="16"/>
        <v>0.2512329407451932</v>
      </c>
      <c r="H28" s="71"/>
      <c r="I28" s="71"/>
      <c r="J28" s="388">
        <v>143940.51261000001</v>
      </c>
      <c r="K28" s="76">
        <f>J28/$J$249</f>
        <v>0.12128287833098694</v>
      </c>
      <c r="L28" s="76"/>
      <c r="M28" s="388">
        <v>7874464.4069999997</v>
      </c>
      <c r="N28" s="388">
        <v>267121.38942654611</v>
      </c>
      <c r="O28" s="71">
        <f t="shared" si="17"/>
        <v>123180.87681654611</v>
      </c>
      <c r="P28" s="76">
        <f t="shared" si="21"/>
        <v>0.46114194404644926</v>
      </c>
      <c r="Q28" s="76">
        <f t="shared" si="22"/>
        <v>0.53885805595355074</v>
      </c>
      <c r="R28" s="126">
        <f t="shared" si="18"/>
        <v>0</v>
      </c>
      <c r="S28" s="126">
        <f t="shared" si="23"/>
        <v>0.53885805595355074</v>
      </c>
      <c r="T28" s="126">
        <f t="shared" si="23"/>
        <v>-0.53885805595355074</v>
      </c>
      <c r="U28" s="240"/>
      <c r="V28" s="240"/>
      <c r="W28" s="240"/>
      <c r="X28" s="240"/>
      <c r="Y28" s="240"/>
      <c r="Z28" s="240"/>
      <c r="AA28" s="240"/>
      <c r="AB28" s="240"/>
      <c r="AC28" s="240"/>
      <c r="AD28" s="240"/>
      <c r="AE28" s="240"/>
      <c r="AF28" s="240"/>
      <c r="AG28" s="240"/>
      <c r="AH28" s="240"/>
      <c r="AI28" s="240"/>
      <c r="AJ28" s="240"/>
      <c r="AK28" s="240"/>
      <c r="AL28" s="240"/>
      <c r="AM28" s="240"/>
      <c r="AN28" s="240"/>
      <c r="AO28" s="240"/>
      <c r="AP28" s="240"/>
      <c r="AQ28" s="240"/>
      <c r="AR28" s="240"/>
      <c r="AS28" s="240"/>
      <c r="AT28" s="240"/>
      <c r="AU28" s="240"/>
      <c r="AV28" s="240"/>
      <c r="AW28" s="240"/>
      <c r="AX28" s="240"/>
      <c r="AY28" s="240"/>
      <c r="AZ28" s="240"/>
      <c r="BA28" s="240"/>
      <c r="BB28" s="240"/>
      <c r="BC28" s="240"/>
      <c r="BD28" s="240"/>
      <c r="BE28" s="240"/>
      <c r="BF28" s="240"/>
      <c r="BG28" s="240"/>
      <c r="BH28" s="240"/>
    </row>
    <row r="29" spans="2:60">
      <c r="B29" s="69">
        <f t="shared" si="19"/>
        <v>1</v>
      </c>
      <c r="C29" s="69">
        <f t="shared" si="15"/>
        <v>1</v>
      </c>
      <c r="D29" s="69" t="str">
        <f t="shared" si="20"/>
        <v>PG&amp;E</v>
      </c>
      <c r="E29" s="70">
        <v>2013</v>
      </c>
      <c r="F29" s="388">
        <v>3566.6399999999994</v>
      </c>
      <c r="G29" s="76">
        <f t="shared" si="16"/>
        <v>0.24348539589004228</v>
      </c>
      <c r="H29" s="69"/>
      <c r="I29" s="69"/>
      <c r="J29" s="388">
        <v>144260.64716999998</v>
      </c>
      <c r="K29" s="76">
        <f>J29/$J$250</f>
        <v>0.12294620225942852</v>
      </c>
      <c r="L29" s="69"/>
      <c r="M29" s="388">
        <v>7607400.8310000002</v>
      </c>
      <c r="N29" s="388">
        <v>358378.3002459819</v>
      </c>
      <c r="O29" s="71">
        <f t="shared" ref="O29:O30" si="24">N29-J29</f>
        <v>214117.65307598191</v>
      </c>
      <c r="P29" s="76">
        <f t="shared" ref="P29:P30" si="25">O29/N29</f>
        <v>0.5974626614642039</v>
      </c>
      <c r="Q29" s="76">
        <f t="shared" ref="Q29:Q30" si="26">1-P29</f>
        <v>0.4025373385357961</v>
      </c>
      <c r="R29" s="126">
        <f t="shared" ref="R29:R30" si="27">Q29*L29</f>
        <v>0</v>
      </c>
      <c r="S29" s="126">
        <f t="shared" ref="S29:S30" si="28">Q29-R29</f>
        <v>0.4025373385357961</v>
      </c>
      <c r="T29" s="126">
        <f t="shared" ref="T29:T30" si="29">R29-S29</f>
        <v>-0.4025373385357961</v>
      </c>
      <c r="U29" s="240"/>
      <c r="V29" s="240"/>
      <c r="W29" s="240"/>
      <c r="X29" s="240"/>
      <c r="Y29" s="240"/>
      <c r="Z29" s="240"/>
      <c r="AA29" s="240"/>
      <c r="AB29" s="240"/>
      <c r="AC29" s="240"/>
      <c r="AD29" s="240"/>
      <c r="AE29" s="240"/>
      <c r="AF29" s="240"/>
      <c r="AG29" s="240"/>
      <c r="AH29" s="240"/>
      <c r="AI29" s="240"/>
      <c r="AJ29" s="240"/>
      <c r="AK29" s="240"/>
      <c r="AL29" s="240"/>
      <c r="AM29" s="240"/>
      <c r="AN29" s="240"/>
      <c r="AO29" s="240"/>
      <c r="AP29" s="240"/>
      <c r="AQ29" s="240"/>
      <c r="AR29" s="240"/>
      <c r="AS29" s="240"/>
      <c r="AT29" s="240"/>
      <c r="AU29" s="240"/>
      <c r="AV29" s="240"/>
      <c r="AW29" s="240"/>
      <c r="AX29" s="240"/>
      <c r="AY29" s="240"/>
      <c r="AZ29" s="240"/>
      <c r="BA29" s="240"/>
      <c r="BB29" s="240"/>
      <c r="BC29" s="240"/>
      <c r="BD29" s="240"/>
      <c r="BE29" s="240"/>
      <c r="BF29" s="240"/>
      <c r="BG29" s="240"/>
      <c r="BH29" s="240"/>
    </row>
    <row r="30" spans="2:60">
      <c r="B30" s="69">
        <f t="shared" si="19"/>
        <v>1</v>
      </c>
      <c r="C30" s="69">
        <f t="shared" si="15"/>
        <v>1</v>
      </c>
      <c r="D30" s="69" t="str">
        <f t="shared" si="20"/>
        <v>PG&amp;E</v>
      </c>
      <c r="E30" s="70">
        <v>2014</v>
      </c>
      <c r="F30" s="388">
        <v>3567.2699999999995</v>
      </c>
      <c r="G30" s="76">
        <f t="shared" si="16"/>
        <v>0.18368446082088305</v>
      </c>
      <c r="H30" s="69"/>
      <c r="I30" s="69"/>
      <c r="J30" s="388">
        <v>139709.88456000001</v>
      </c>
      <c r="K30" s="76">
        <f>J30/$J$251</f>
        <v>0.11606515471896137</v>
      </c>
      <c r="L30" s="69"/>
      <c r="M30" s="388">
        <v>5740008.1030000001</v>
      </c>
      <c r="N30" s="388">
        <v>325449.49358964752</v>
      </c>
      <c r="O30" s="71">
        <f t="shared" si="24"/>
        <v>185739.60902964752</v>
      </c>
      <c r="P30" s="76">
        <f t="shared" si="25"/>
        <v>0.57071715485242913</v>
      </c>
      <c r="Q30" s="76">
        <f t="shared" si="26"/>
        <v>0.42928284514757087</v>
      </c>
      <c r="R30" s="126">
        <f t="shared" si="27"/>
        <v>0</v>
      </c>
      <c r="S30" s="126">
        <f t="shared" si="28"/>
        <v>0.42928284514757087</v>
      </c>
      <c r="T30" s="126">
        <f t="shared" si="29"/>
        <v>-0.42928284514757087</v>
      </c>
      <c r="U30" s="240"/>
      <c r="V30" s="240"/>
      <c r="W30" s="240"/>
      <c r="X30" s="240"/>
      <c r="Y30" s="240"/>
      <c r="Z30" s="240"/>
      <c r="AA30" s="240"/>
      <c r="AB30" s="240"/>
      <c r="AC30" s="240"/>
      <c r="AD30" s="240"/>
      <c r="AE30" s="240"/>
      <c r="AF30" s="240"/>
      <c r="AG30" s="240"/>
      <c r="AH30" s="240"/>
      <c r="AI30" s="240"/>
      <c r="AJ30" s="240"/>
      <c r="AK30" s="240"/>
      <c r="AL30" s="240"/>
      <c r="AM30" s="240"/>
      <c r="AN30" s="240"/>
      <c r="AO30" s="240"/>
      <c r="AP30" s="240"/>
      <c r="AQ30" s="240"/>
      <c r="AR30" s="240"/>
      <c r="AS30" s="240"/>
      <c r="AT30" s="240"/>
      <c r="AU30" s="240"/>
      <c r="AV30" s="240"/>
      <c r="AW30" s="240"/>
      <c r="AX30" s="240"/>
      <c r="AY30" s="240"/>
      <c r="AZ30" s="240"/>
      <c r="BA30" s="240"/>
      <c r="BB30" s="240"/>
      <c r="BC30" s="240"/>
      <c r="BD30" s="240"/>
      <c r="BE30" s="240"/>
      <c r="BF30" s="240"/>
      <c r="BG30" s="240"/>
      <c r="BH30" s="240"/>
    </row>
    <row r="31" spans="2:60">
      <c r="B31" s="72">
        <f>'OPG hydro peers'!B6</f>
        <v>1</v>
      </c>
      <c r="C31" s="72">
        <f t="shared" si="15"/>
        <v>2</v>
      </c>
      <c r="D31" s="72" t="str">
        <f>'OPG hydro peers'!D6</f>
        <v>Duke</v>
      </c>
      <c r="E31" s="73">
        <v>2002</v>
      </c>
      <c r="F31" s="389">
        <v>2753.99</v>
      </c>
      <c r="G31" s="75">
        <f t="shared" ref="G31:G43" si="30">M31/(F31*8760)</f>
        <v>0.20556245947245891</v>
      </c>
      <c r="H31" s="74"/>
      <c r="I31" s="74"/>
      <c r="J31" s="389">
        <v>27024.336149999999</v>
      </c>
      <c r="K31" s="75">
        <f>J31/$J$239</f>
        <v>3.796803709835208E-2</v>
      </c>
      <c r="L31" s="75"/>
      <c r="M31" s="389">
        <v>4959184.55</v>
      </c>
      <c r="N31" s="389">
        <v>31966.46617444171</v>
      </c>
      <c r="O31" s="74">
        <f t="shared" ref="O31:O41" si="31">N31-J31</f>
        <v>4942.1300244417107</v>
      </c>
      <c r="P31" s="75">
        <f>AVERAGE($P$32:$P$40)</f>
        <v>0.57519639821499535</v>
      </c>
      <c r="Q31" s="75">
        <f>1-P31</f>
        <v>0.42480360178500465</v>
      </c>
      <c r="R31" s="125">
        <f t="shared" ref="R31:R41" si="32">Q31*L31</f>
        <v>0</v>
      </c>
      <c r="S31" s="125">
        <f>Q31-R31</f>
        <v>0.42480360178500465</v>
      </c>
      <c r="T31" s="125">
        <f>R31-S31</f>
        <v>-0.42480360178500465</v>
      </c>
      <c r="U31" s="240"/>
      <c r="V31" s="240"/>
      <c r="W31" s="240"/>
      <c r="X31" s="240"/>
      <c r="Y31" s="240"/>
      <c r="Z31" s="240"/>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0"/>
      <c r="AY31" s="240"/>
      <c r="AZ31" s="240"/>
      <c r="BA31" s="240"/>
      <c r="BB31" s="240"/>
      <c r="BC31" s="240"/>
      <c r="BD31" s="240"/>
      <c r="BE31" s="240"/>
      <c r="BF31" s="240"/>
      <c r="BG31" s="240"/>
      <c r="BH31" s="240"/>
    </row>
    <row r="32" spans="2:60">
      <c r="B32" s="72">
        <f t="shared" ref="B32:B43" si="33">B31</f>
        <v>1</v>
      </c>
      <c r="C32" s="72">
        <f t="shared" si="15"/>
        <v>2</v>
      </c>
      <c r="D32" s="72" t="str">
        <f t="shared" ref="D32:D43" si="34">D31</f>
        <v>Duke</v>
      </c>
      <c r="E32" s="73">
        <v>2003</v>
      </c>
      <c r="F32" s="389">
        <v>2753.99</v>
      </c>
      <c r="G32" s="75">
        <f t="shared" si="30"/>
        <v>0.26319881982440724</v>
      </c>
      <c r="H32" s="74"/>
      <c r="I32" s="74"/>
      <c r="J32" s="389">
        <v>29330.415180000004</v>
      </c>
      <c r="K32" s="75">
        <f>J32/$J$240</f>
        <v>3.6810012738787264E-2</v>
      </c>
      <c r="L32" s="75"/>
      <c r="M32" s="389">
        <v>6349659</v>
      </c>
      <c r="N32" s="389">
        <v>106918.03643717247</v>
      </c>
      <c r="O32" s="74">
        <f t="shared" si="31"/>
        <v>77587.621257172461</v>
      </c>
      <c r="P32" s="75">
        <f t="shared" ref="P32:P43" si="35">O32/N32</f>
        <v>0.72567383242924366</v>
      </c>
      <c r="Q32" s="75">
        <f t="shared" ref="Q32:Q41" si="36">1-P32</f>
        <v>0.27432616757075634</v>
      </c>
      <c r="R32" s="125">
        <f t="shared" si="32"/>
        <v>0</v>
      </c>
      <c r="S32" s="125">
        <f t="shared" ref="S32:T41" si="37">Q32-R32</f>
        <v>0.27432616757075634</v>
      </c>
      <c r="T32" s="125">
        <f t="shared" si="37"/>
        <v>-0.27432616757075634</v>
      </c>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0"/>
      <c r="BC32" s="240"/>
      <c r="BD32" s="240"/>
      <c r="BE32" s="240"/>
      <c r="BF32" s="240"/>
      <c r="BG32" s="240"/>
      <c r="BH32" s="240"/>
    </row>
    <row r="33" spans="2:60">
      <c r="B33" s="72">
        <f t="shared" si="33"/>
        <v>1</v>
      </c>
      <c r="C33" s="72">
        <f t="shared" si="15"/>
        <v>2</v>
      </c>
      <c r="D33" s="72" t="str">
        <f t="shared" si="34"/>
        <v>Duke</v>
      </c>
      <c r="E33" s="73">
        <v>2004</v>
      </c>
      <c r="F33" s="389">
        <v>2753.99</v>
      </c>
      <c r="G33" s="75">
        <f t="shared" si="30"/>
        <v>0.21278313485915937</v>
      </c>
      <c r="H33" s="74"/>
      <c r="I33" s="74"/>
      <c r="J33" s="389">
        <v>35768.658299999996</v>
      </c>
      <c r="K33" s="75">
        <f>J33/$J$241</f>
        <v>4.3550206910843881E-2</v>
      </c>
      <c r="L33" s="75"/>
      <c r="M33" s="389">
        <v>5133383</v>
      </c>
      <c r="N33" s="389">
        <v>96427.87587150438</v>
      </c>
      <c r="O33" s="74">
        <f t="shared" si="31"/>
        <v>60659.217571504385</v>
      </c>
      <c r="P33" s="75">
        <f t="shared" si="35"/>
        <v>0.62906309014144657</v>
      </c>
      <c r="Q33" s="75">
        <f t="shared" si="36"/>
        <v>0.37093690985855343</v>
      </c>
      <c r="R33" s="125">
        <f t="shared" si="32"/>
        <v>0</v>
      </c>
      <c r="S33" s="125">
        <f t="shared" si="37"/>
        <v>0.37093690985855343</v>
      </c>
      <c r="T33" s="125">
        <f t="shared" si="37"/>
        <v>-0.37093690985855343</v>
      </c>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row>
    <row r="34" spans="2:60">
      <c r="B34" s="72">
        <f t="shared" si="33"/>
        <v>1</v>
      </c>
      <c r="C34" s="72">
        <f t="shared" si="15"/>
        <v>2</v>
      </c>
      <c r="D34" s="72" t="str">
        <f t="shared" si="34"/>
        <v>Duke</v>
      </c>
      <c r="E34" s="73">
        <v>2005</v>
      </c>
      <c r="F34" s="389">
        <v>2753.99</v>
      </c>
      <c r="G34" s="75">
        <f t="shared" si="30"/>
        <v>0.22907473177024798</v>
      </c>
      <c r="H34" s="74"/>
      <c r="I34" s="74"/>
      <c r="J34" s="389">
        <v>35119.656179999998</v>
      </c>
      <c r="K34" s="75">
        <f>J34/$J$242</f>
        <v>4.0490925529424779E-2</v>
      </c>
      <c r="L34" s="75"/>
      <c r="M34" s="389">
        <v>5526417</v>
      </c>
      <c r="N34" s="389">
        <v>144514.54546023801</v>
      </c>
      <c r="O34" s="74">
        <f t="shared" si="31"/>
        <v>109394.88928023801</v>
      </c>
      <c r="P34" s="75">
        <f t="shared" si="35"/>
        <v>0.75698185903603121</v>
      </c>
      <c r="Q34" s="75">
        <f t="shared" si="36"/>
        <v>0.24301814096396879</v>
      </c>
      <c r="R34" s="125">
        <f t="shared" si="32"/>
        <v>0</v>
      </c>
      <c r="S34" s="125">
        <f t="shared" si="37"/>
        <v>0.24301814096396879</v>
      </c>
      <c r="T34" s="125">
        <f t="shared" si="37"/>
        <v>-0.24301814096396879</v>
      </c>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0"/>
      <c r="BC34" s="240"/>
      <c r="BD34" s="240"/>
      <c r="BE34" s="240"/>
      <c r="BF34" s="240"/>
      <c r="BG34" s="240"/>
      <c r="BH34" s="240"/>
    </row>
    <row r="35" spans="2:60">
      <c r="B35" s="72">
        <f t="shared" si="33"/>
        <v>1</v>
      </c>
      <c r="C35" s="72">
        <f t="shared" si="15"/>
        <v>2</v>
      </c>
      <c r="D35" s="72" t="str">
        <f t="shared" si="34"/>
        <v>Duke</v>
      </c>
      <c r="E35" s="73">
        <v>2006</v>
      </c>
      <c r="F35" s="389">
        <v>2755.99</v>
      </c>
      <c r="G35" s="75">
        <f t="shared" si="30"/>
        <v>0.18543017988497318</v>
      </c>
      <c r="H35" s="74"/>
      <c r="I35" s="74"/>
      <c r="J35" s="389">
        <v>27186.254580000001</v>
      </c>
      <c r="K35" s="75">
        <f>J35/$J$243</f>
        <v>2.9764448773479776E-2</v>
      </c>
      <c r="L35" s="75"/>
      <c r="M35" s="389">
        <v>4476743</v>
      </c>
      <c r="N35" s="389">
        <v>82427.668713084277</v>
      </c>
      <c r="O35" s="74">
        <f t="shared" si="31"/>
        <v>55241.414133084276</v>
      </c>
      <c r="P35" s="75">
        <f t="shared" si="35"/>
        <v>0.67018047453664609</v>
      </c>
      <c r="Q35" s="75">
        <f t="shared" si="36"/>
        <v>0.32981952546335391</v>
      </c>
      <c r="R35" s="125">
        <f t="shared" si="32"/>
        <v>0</v>
      </c>
      <c r="S35" s="125">
        <f t="shared" si="37"/>
        <v>0.32981952546335391</v>
      </c>
      <c r="T35" s="125">
        <f t="shared" si="37"/>
        <v>-0.32981952546335391</v>
      </c>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row>
    <row r="36" spans="2:60">
      <c r="B36" s="72">
        <f t="shared" si="33"/>
        <v>1</v>
      </c>
      <c r="C36" s="72">
        <f t="shared" si="15"/>
        <v>2</v>
      </c>
      <c r="D36" s="72" t="str">
        <f t="shared" si="34"/>
        <v>Duke</v>
      </c>
      <c r="E36" s="73">
        <v>2007</v>
      </c>
      <c r="F36" s="389">
        <v>2755.99</v>
      </c>
      <c r="G36" s="75">
        <f t="shared" si="30"/>
        <v>0.18519122341421834</v>
      </c>
      <c r="H36" s="74"/>
      <c r="I36" s="74"/>
      <c r="J36" s="389">
        <v>32580.783659999997</v>
      </c>
      <c r="K36" s="75">
        <f>J36/$J$244</f>
        <v>3.2753189752090753E-2</v>
      </c>
      <c r="L36" s="75"/>
      <c r="M36" s="389">
        <v>4470974</v>
      </c>
      <c r="N36" s="389">
        <v>61098.493511384077</v>
      </c>
      <c r="O36" s="74">
        <f t="shared" si="31"/>
        <v>28517.709851384079</v>
      </c>
      <c r="P36" s="75">
        <f t="shared" si="35"/>
        <v>0.46674980367675617</v>
      </c>
      <c r="Q36" s="75">
        <f t="shared" si="36"/>
        <v>0.53325019632324389</v>
      </c>
      <c r="R36" s="125">
        <f t="shared" si="32"/>
        <v>0</v>
      </c>
      <c r="S36" s="125">
        <f t="shared" si="37"/>
        <v>0.53325019632324389</v>
      </c>
      <c r="T36" s="125">
        <f t="shared" si="37"/>
        <v>-0.53325019632324389</v>
      </c>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row>
    <row r="37" spans="2:60">
      <c r="B37" s="72">
        <f t="shared" si="33"/>
        <v>1</v>
      </c>
      <c r="C37" s="72">
        <f t="shared" si="15"/>
        <v>2</v>
      </c>
      <c r="D37" s="72" t="str">
        <f t="shared" si="34"/>
        <v>Duke</v>
      </c>
      <c r="E37" s="73">
        <v>2008</v>
      </c>
      <c r="F37" s="389">
        <v>2790.99</v>
      </c>
      <c r="G37" s="75">
        <f t="shared" si="30"/>
        <v>0.18891481543487926</v>
      </c>
      <c r="H37" s="74"/>
      <c r="I37" s="74"/>
      <c r="J37" s="389">
        <v>32179.540439999997</v>
      </c>
      <c r="K37" s="75">
        <f>J37/$J$245</f>
        <v>2.9699540478558089E-2</v>
      </c>
      <c r="L37" s="75"/>
      <c r="M37" s="389">
        <v>4618792</v>
      </c>
      <c r="N37" s="389">
        <v>64948.130180598149</v>
      </c>
      <c r="O37" s="74">
        <f t="shared" si="31"/>
        <v>32768.589740598152</v>
      </c>
      <c r="P37" s="75">
        <f t="shared" si="35"/>
        <v>0.50453476719776391</v>
      </c>
      <c r="Q37" s="75">
        <f t="shared" si="36"/>
        <v>0.49546523280223609</v>
      </c>
      <c r="R37" s="125">
        <f t="shared" si="32"/>
        <v>0</v>
      </c>
      <c r="S37" s="125">
        <f t="shared" si="37"/>
        <v>0.49546523280223609</v>
      </c>
      <c r="T37" s="125">
        <f t="shared" si="37"/>
        <v>-0.49546523280223609</v>
      </c>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row>
    <row r="38" spans="2:60">
      <c r="B38" s="72">
        <f t="shared" si="33"/>
        <v>1</v>
      </c>
      <c r="C38" s="72">
        <f t="shared" si="15"/>
        <v>2</v>
      </c>
      <c r="D38" s="72" t="str">
        <f t="shared" si="34"/>
        <v>Duke</v>
      </c>
      <c r="E38" s="73">
        <v>2009</v>
      </c>
      <c r="F38" s="389">
        <v>2790.99</v>
      </c>
      <c r="G38" s="75">
        <f t="shared" si="30"/>
        <v>0.19501717373948307</v>
      </c>
      <c r="H38" s="74"/>
      <c r="I38" s="74"/>
      <c r="J38" s="389">
        <v>35977.063349999997</v>
      </c>
      <c r="K38" s="75">
        <f>J38/$J$246</f>
        <v>3.3517948041822371E-2</v>
      </c>
      <c r="L38" s="75"/>
      <c r="M38" s="389">
        <v>4767989</v>
      </c>
      <c r="N38" s="389">
        <v>74688.813029601515</v>
      </c>
      <c r="O38" s="74">
        <f t="shared" si="31"/>
        <v>38711.749679601518</v>
      </c>
      <c r="P38" s="75">
        <f t="shared" si="35"/>
        <v>0.51830720169911981</v>
      </c>
      <c r="Q38" s="75">
        <f t="shared" si="36"/>
        <v>0.48169279830088019</v>
      </c>
      <c r="R38" s="125">
        <f t="shared" si="32"/>
        <v>0</v>
      </c>
      <c r="S38" s="125">
        <f t="shared" si="37"/>
        <v>0.48169279830088019</v>
      </c>
      <c r="T38" s="125">
        <f t="shared" si="37"/>
        <v>-0.48169279830088019</v>
      </c>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row>
    <row r="39" spans="2:60">
      <c r="B39" s="72">
        <f t="shared" si="33"/>
        <v>1</v>
      </c>
      <c r="C39" s="72">
        <f t="shared" si="15"/>
        <v>2</v>
      </c>
      <c r="D39" s="72" t="str">
        <f t="shared" si="34"/>
        <v>Duke</v>
      </c>
      <c r="E39" s="73">
        <v>2010</v>
      </c>
      <c r="F39" s="389">
        <v>2794.99</v>
      </c>
      <c r="G39" s="75">
        <f t="shared" si="30"/>
        <v>0.19432360553940278</v>
      </c>
      <c r="H39" s="74"/>
      <c r="I39" s="74"/>
      <c r="J39" s="389">
        <v>38734.041930000007</v>
      </c>
      <c r="K39" s="75">
        <f>J39/$J$247</f>
        <v>3.3600755915425294E-2</v>
      </c>
      <c r="L39" s="75"/>
      <c r="M39" s="389">
        <v>4757841</v>
      </c>
      <c r="N39" s="389">
        <v>82713.400605902309</v>
      </c>
      <c r="O39" s="74">
        <f t="shared" si="31"/>
        <v>43979.358675902302</v>
      </c>
      <c r="P39" s="75">
        <f t="shared" si="35"/>
        <v>0.53170778076755798</v>
      </c>
      <c r="Q39" s="75">
        <f t="shared" si="36"/>
        <v>0.46829221923244202</v>
      </c>
      <c r="R39" s="125">
        <f t="shared" si="32"/>
        <v>0</v>
      </c>
      <c r="S39" s="125">
        <f t="shared" si="37"/>
        <v>0.46829221923244202</v>
      </c>
      <c r="T39" s="125">
        <f t="shared" si="37"/>
        <v>-0.46829221923244202</v>
      </c>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0"/>
      <c r="AU39" s="240"/>
      <c r="AV39" s="240"/>
      <c r="AW39" s="240"/>
      <c r="AX39" s="240"/>
      <c r="AY39" s="240"/>
      <c r="AZ39" s="240"/>
      <c r="BA39" s="240"/>
      <c r="BB39" s="240"/>
      <c r="BC39" s="240"/>
      <c r="BD39" s="240"/>
      <c r="BE39" s="240"/>
      <c r="BF39" s="240"/>
      <c r="BG39" s="240"/>
      <c r="BH39" s="240"/>
    </row>
    <row r="40" spans="2:60">
      <c r="B40" s="72">
        <f t="shared" si="33"/>
        <v>1</v>
      </c>
      <c r="C40" s="72">
        <f t="shared" si="15"/>
        <v>2</v>
      </c>
      <c r="D40" s="72" t="str">
        <f t="shared" si="34"/>
        <v>Duke</v>
      </c>
      <c r="E40" s="73">
        <v>2011</v>
      </c>
      <c r="F40" s="389">
        <v>2846.3199999999997</v>
      </c>
      <c r="G40" s="75">
        <f t="shared" si="30"/>
        <v>0.17070203024948918</v>
      </c>
      <c r="H40" s="74"/>
      <c r="I40" s="74"/>
      <c r="J40" s="389">
        <v>38866.244789999997</v>
      </c>
      <c r="K40" s="75">
        <f>J40/$J$248</f>
        <v>3.3783350480702599E-2</v>
      </c>
      <c r="L40" s="75"/>
      <c r="M40" s="389">
        <v>4256244</v>
      </c>
      <c r="N40" s="389">
        <v>62043.913529214951</v>
      </c>
      <c r="O40" s="74">
        <f t="shared" si="31"/>
        <v>23177.668739214954</v>
      </c>
      <c r="P40" s="75">
        <f t="shared" si="35"/>
        <v>0.37356877445039249</v>
      </c>
      <c r="Q40" s="75">
        <f t="shared" si="36"/>
        <v>0.62643122554960751</v>
      </c>
      <c r="R40" s="125">
        <f t="shared" si="32"/>
        <v>0</v>
      </c>
      <c r="S40" s="125">
        <f t="shared" si="37"/>
        <v>0.62643122554960751</v>
      </c>
      <c r="T40" s="125">
        <f t="shared" si="37"/>
        <v>-0.62643122554960751</v>
      </c>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row>
    <row r="41" spans="2:60">
      <c r="B41" s="72">
        <f t="shared" si="33"/>
        <v>1</v>
      </c>
      <c r="C41" s="72">
        <f t="shared" si="15"/>
        <v>2</v>
      </c>
      <c r="D41" s="72" t="str">
        <f t="shared" si="34"/>
        <v>Duke</v>
      </c>
      <c r="E41" s="73">
        <v>2012</v>
      </c>
      <c r="F41" s="389">
        <v>2851.8999999999996</v>
      </c>
      <c r="G41" s="75">
        <f t="shared" si="30"/>
        <v>0.15971059748519814</v>
      </c>
      <c r="H41" s="74"/>
      <c r="I41" s="74"/>
      <c r="J41" s="389">
        <v>39629.096939999996</v>
      </c>
      <c r="K41" s="75">
        <f>J41/$J$249</f>
        <v>3.3391092301883293E-2</v>
      </c>
      <c r="L41" s="75"/>
      <c r="M41" s="389">
        <v>3989993</v>
      </c>
      <c r="N41" s="389">
        <v>46976.678070155358</v>
      </c>
      <c r="O41" s="74">
        <f t="shared" si="31"/>
        <v>7347.5811301553622</v>
      </c>
      <c r="P41" s="75">
        <f>AVERAGE($P$32:$P$40)</f>
        <v>0.57519639821499535</v>
      </c>
      <c r="Q41" s="75">
        <f t="shared" si="36"/>
        <v>0.42480360178500465</v>
      </c>
      <c r="R41" s="125">
        <f t="shared" si="32"/>
        <v>0</v>
      </c>
      <c r="S41" s="125">
        <f t="shared" si="37"/>
        <v>0.42480360178500465</v>
      </c>
      <c r="T41" s="125">
        <f t="shared" si="37"/>
        <v>-0.42480360178500465</v>
      </c>
      <c r="U41" s="240"/>
      <c r="V41" s="240"/>
      <c r="W41" s="240"/>
      <c r="X41" s="240"/>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c r="AX41" s="240"/>
      <c r="AY41" s="240"/>
      <c r="AZ41" s="240"/>
      <c r="BA41" s="240"/>
      <c r="BB41" s="240"/>
      <c r="BC41" s="240"/>
      <c r="BD41" s="240"/>
      <c r="BE41" s="240"/>
      <c r="BF41" s="240"/>
      <c r="BG41" s="240"/>
      <c r="BH41" s="240"/>
    </row>
    <row r="42" spans="2:60">
      <c r="B42" s="72">
        <f t="shared" si="33"/>
        <v>1</v>
      </c>
      <c r="C42" s="72">
        <f t="shared" si="15"/>
        <v>2</v>
      </c>
      <c r="D42" s="72" t="str">
        <f t="shared" si="34"/>
        <v>Duke</v>
      </c>
      <c r="E42" s="73">
        <v>2013</v>
      </c>
      <c r="F42" s="389">
        <v>2858.27</v>
      </c>
      <c r="G42" s="75">
        <f t="shared" si="30"/>
        <v>0.21003005410256065</v>
      </c>
      <c r="H42" s="72"/>
      <c r="I42" s="72"/>
      <c r="J42" s="389">
        <v>41250.778140000002</v>
      </c>
      <c r="K42" s="75">
        <f>J42/$J$250</f>
        <v>3.5155994458992923E-2</v>
      </c>
      <c r="L42" s="72"/>
      <c r="M42" s="389">
        <v>5258826</v>
      </c>
      <c r="N42" s="389">
        <v>105619.0259207112</v>
      </c>
      <c r="O42" s="74">
        <f t="shared" ref="O42:O43" si="38">N42-J42</f>
        <v>64368.247780711194</v>
      </c>
      <c r="P42" s="75">
        <f t="shared" si="35"/>
        <v>0.60943799869005422</v>
      </c>
      <c r="Q42" s="75">
        <f t="shared" ref="Q42:Q43" si="39">1-P42</f>
        <v>0.39056200130994578</v>
      </c>
      <c r="R42" s="125">
        <f t="shared" ref="R42:R43" si="40">Q42*L42</f>
        <v>0</v>
      </c>
      <c r="S42" s="125">
        <f t="shared" ref="S42:S43" si="41">Q42-R42</f>
        <v>0.39056200130994578</v>
      </c>
      <c r="T42" s="125">
        <f t="shared" ref="T42:T43" si="42">R42-S42</f>
        <v>-0.39056200130994578</v>
      </c>
      <c r="U42" s="240"/>
      <c r="V42" s="240"/>
      <c r="W42" s="240"/>
      <c r="X42" s="240"/>
      <c r="Y42" s="240"/>
      <c r="Z42" s="240"/>
      <c r="AA42" s="240"/>
      <c r="AB42" s="240"/>
      <c r="AC42" s="240"/>
      <c r="AD42" s="240"/>
      <c r="AE42" s="240"/>
      <c r="AF42" s="240"/>
      <c r="AG42" s="240"/>
      <c r="AH42" s="240"/>
      <c r="AI42" s="240"/>
      <c r="AJ42" s="240"/>
      <c r="AK42" s="240"/>
      <c r="AL42" s="240"/>
      <c r="AM42" s="240"/>
      <c r="AN42" s="240"/>
      <c r="AO42" s="240"/>
      <c r="AP42" s="240"/>
      <c r="AQ42" s="240"/>
      <c r="AR42" s="240"/>
      <c r="AS42" s="240"/>
      <c r="AT42" s="240"/>
      <c r="AU42" s="240"/>
      <c r="AV42" s="240"/>
      <c r="AW42" s="240"/>
      <c r="AX42" s="240"/>
      <c r="AY42" s="240"/>
      <c r="AZ42" s="240"/>
      <c r="BA42" s="240"/>
      <c r="BB42" s="240"/>
      <c r="BC42" s="240"/>
      <c r="BD42" s="240"/>
      <c r="BE42" s="240"/>
      <c r="BF42" s="240"/>
      <c r="BG42" s="240"/>
      <c r="BH42" s="240"/>
    </row>
    <row r="43" spans="2:60">
      <c r="B43" s="72">
        <f t="shared" si="33"/>
        <v>1</v>
      </c>
      <c r="C43" s="72">
        <f t="shared" si="15"/>
        <v>2</v>
      </c>
      <c r="D43" s="72" t="str">
        <f t="shared" si="34"/>
        <v>Duke</v>
      </c>
      <c r="E43" s="73">
        <v>2014</v>
      </c>
      <c r="F43" s="389">
        <v>2858.72</v>
      </c>
      <c r="G43" s="75">
        <f t="shared" si="30"/>
        <v>0.20002026803578854</v>
      </c>
      <c r="H43" s="72"/>
      <c r="I43" s="72"/>
      <c r="J43" s="389">
        <v>40395.289770000003</v>
      </c>
      <c r="K43" s="75">
        <f>J43/$J$251</f>
        <v>3.3558724723294749E-2</v>
      </c>
      <c r="L43" s="72"/>
      <c r="M43" s="389">
        <v>5008985</v>
      </c>
      <c r="N43" s="389">
        <v>98705.61970064271</v>
      </c>
      <c r="O43" s="74">
        <f t="shared" si="38"/>
        <v>58310.329930642707</v>
      </c>
      <c r="P43" s="75">
        <f t="shared" si="35"/>
        <v>0.5907498489699774</v>
      </c>
      <c r="Q43" s="75">
        <f t="shared" si="39"/>
        <v>0.4092501510300226</v>
      </c>
      <c r="R43" s="125">
        <f t="shared" si="40"/>
        <v>0</v>
      </c>
      <c r="S43" s="125">
        <f t="shared" si="41"/>
        <v>0.4092501510300226</v>
      </c>
      <c r="T43" s="125">
        <f t="shared" si="42"/>
        <v>-0.4092501510300226</v>
      </c>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c r="AX43" s="240"/>
      <c r="AY43" s="240"/>
      <c r="AZ43" s="240"/>
      <c r="BA43" s="240"/>
      <c r="BB43" s="240"/>
      <c r="BC43" s="240"/>
      <c r="BD43" s="240"/>
      <c r="BE43" s="240"/>
      <c r="BF43" s="240"/>
      <c r="BG43" s="240"/>
      <c r="BH43" s="240"/>
    </row>
    <row r="44" spans="2:60">
      <c r="B44" s="69">
        <f>'OPG hydro peers'!B7</f>
        <v>1</v>
      </c>
      <c r="C44" s="69">
        <f t="shared" si="15"/>
        <v>3</v>
      </c>
      <c r="D44" s="69" t="str">
        <f>'OPG hydro peers'!D7</f>
        <v>VA Electric</v>
      </c>
      <c r="E44" s="70">
        <v>2002</v>
      </c>
      <c r="F44" s="388">
        <v>1718</v>
      </c>
      <c r="G44" s="76">
        <f t="shared" ref="G44:G56" si="43">M44/(F44*8760)</f>
        <v>0.18245623827217589</v>
      </c>
      <c r="H44" s="71"/>
      <c r="I44" s="71"/>
      <c r="J44" s="388">
        <v>7381.7035500000002</v>
      </c>
      <c r="K44" s="76">
        <f>J44/$J$239</f>
        <v>1.0370977946684446E-2</v>
      </c>
      <c r="L44" s="76"/>
      <c r="M44" s="388">
        <v>2745908</v>
      </c>
      <c r="N44" s="388">
        <v>10366.585716138656</v>
      </c>
      <c r="O44" s="71">
        <f t="shared" ref="O44:O54" si="44">N44-J44</f>
        <v>2984.8821661386555</v>
      </c>
      <c r="P44" s="76">
        <f>O44/N44</f>
        <v>0.28793300396791238</v>
      </c>
      <c r="Q44" s="76">
        <f>1-P44</f>
        <v>0.71206699603208756</v>
      </c>
      <c r="R44" s="126">
        <f t="shared" ref="R44:R54" si="45">Q44*L44</f>
        <v>0</v>
      </c>
      <c r="S44" s="126">
        <f>Q44-R44</f>
        <v>0.71206699603208756</v>
      </c>
      <c r="T44" s="126">
        <f>R44-S44</f>
        <v>-0.71206699603208756</v>
      </c>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40"/>
      <c r="AS44" s="240"/>
      <c r="AT44" s="240"/>
      <c r="AU44" s="240"/>
      <c r="AV44" s="240"/>
      <c r="AW44" s="240"/>
      <c r="AX44" s="240"/>
      <c r="AY44" s="240"/>
      <c r="AZ44" s="240"/>
      <c r="BA44" s="240"/>
      <c r="BB44" s="240"/>
      <c r="BC44" s="240"/>
      <c r="BD44" s="240"/>
      <c r="BE44" s="240"/>
      <c r="BF44" s="240"/>
      <c r="BG44" s="240"/>
      <c r="BH44" s="240"/>
    </row>
    <row r="45" spans="2:60">
      <c r="B45" s="69">
        <f t="shared" ref="B45:B56" si="46">B44</f>
        <v>1</v>
      </c>
      <c r="C45" s="69">
        <f t="shared" si="15"/>
        <v>3</v>
      </c>
      <c r="D45" s="69" t="str">
        <f t="shared" ref="D45:D56" si="47">D44</f>
        <v>VA Electric</v>
      </c>
      <c r="E45" s="70">
        <v>2003</v>
      </c>
      <c r="F45" s="388">
        <v>2379</v>
      </c>
      <c r="G45" s="76">
        <f t="shared" si="43"/>
        <v>0.16910116295362196</v>
      </c>
      <c r="H45" s="71"/>
      <c r="I45" s="71"/>
      <c r="J45" s="388">
        <v>7403.8337100000008</v>
      </c>
      <c r="K45" s="76">
        <f>J45/$J$240</f>
        <v>9.2918975578225212E-3</v>
      </c>
      <c r="L45" s="76"/>
      <c r="M45" s="388">
        <v>3524075</v>
      </c>
      <c r="N45" s="388">
        <v>60446.254734085582</v>
      </c>
      <c r="O45" s="71">
        <f t="shared" si="44"/>
        <v>53042.421024085583</v>
      </c>
      <c r="P45" s="76">
        <f t="shared" ref="P45:P54" si="48">O45/N45</f>
        <v>0.87751377248150686</v>
      </c>
      <c r="Q45" s="76">
        <f t="shared" ref="Q45:Q54" si="49">1-P45</f>
        <v>0.12248622751849314</v>
      </c>
      <c r="R45" s="126">
        <f t="shared" si="45"/>
        <v>0</v>
      </c>
      <c r="S45" s="126">
        <f t="shared" ref="S45:T54" si="50">Q45-R45</f>
        <v>0.12248622751849314</v>
      </c>
      <c r="T45" s="126">
        <f t="shared" si="50"/>
        <v>-0.12248622751849314</v>
      </c>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0"/>
      <c r="BC45" s="240"/>
      <c r="BD45" s="240"/>
      <c r="BE45" s="240"/>
      <c r="BF45" s="240"/>
      <c r="BG45" s="240"/>
      <c r="BH45" s="240"/>
    </row>
    <row r="46" spans="2:60">
      <c r="B46" s="69">
        <f t="shared" si="46"/>
        <v>1</v>
      </c>
      <c r="C46" s="69">
        <f t="shared" si="15"/>
        <v>3</v>
      </c>
      <c r="D46" s="69" t="str">
        <f t="shared" si="47"/>
        <v>VA Electric</v>
      </c>
      <c r="E46" s="70">
        <v>2004</v>
      </c>
      <c r="F46" s="388">
        <v>2379</v>
      </c>
      <c r="G46" s="76">
        <f t="shared" si="43"/>
        <v>0.14741137732941012</v>
      </c>
      <c r="H46" s="71"/>
      <c r="I46" s="71"/>
      <c r="J46" s="388">
        <v>7900.3182900000002</v>
      </c>
      <c r="K46" s="76">
        <f>J46/$J$241</f>
        <v>9.6190495406707592E-3</v>
      </c>
      <c r="L46" s="76"/>
      <c r="M46" s="388">
        <v>3072059</v>
      </c>
      <c r="N46" s="388">
        <v>41524.247009285973</v>
      </c>
      <c r="O46" s="71">
        <f t="shared" si="44"/>
        <v>33623.92871928597</v>
      </c>
      <c r="P46" s="76">
        <f t="shared" si="48"/>
        <v>0.80974204569601771</v>
      </c>
      <c r="Q46" s="76">
        <f t="shared" si="49"/>
        <v>0.19025795430398229</v>
      </c>
      <c r="R46" s="126">
        <f t="shared" si="45"/>
        <v>0</v>
      </c>
      <c r="S46" s="126">
        <f t="shared" si="50"/>
        <v>0.19025795430398229</v>
      </c>
      <c r="T46" s="126">
        <f t="shared" si="50"/>
        <v>-0.19025795430398229</v>
      </c>
      <c r="U46" s="240"/>
      <c r="V46" s="240"/>
      <c r="W46" s="240"/>
      <c r="X46" s="240"/>
      <c r="Y46" s="240"/>
      <c r="Z46" s="240"/>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c r="AX46" s="240"/>
      <c r="AY46" s="240"/>
      <c r="AZ46" s="240"/>
      <c r="BA46" s="240"/>
      <c r="BB46" s="240"/>
      <c r="BC46" s="240"/>
      <c r="BD46" s="240"/>
      <c r="BE46" s="240"/>
      <c r="BF46" s="240"/>
      <c r="BG46" s="240"/>
      <c r="BH46" s="240"/>
    </row>
    <row r="47" spans="2:60">
      <c r="B47" s="69">
        <f t="shared" si="46"/>
        <v>1</v>
      </c>
      <c r="C47" s="69">
        <f t="shared" si="15"/>
        <v>3</v>
      </c>
      <c r="D47" s="69" t="str">
        <f t="shared" si="47"/>
        <v>VA Electric</v>
      </c>
      <c r="E47" s="70">
        <v>2005</v>
      </c>
      <c r="F47" s="388">
        <v>2379</v>
      </c>
      <c r="G47" s="76">
        <f t="shared" si="43"/>
        <v>0.12423647939255396</v>
      </c>
      <c r="H47" s="71"/>
      <c r="I47" s="71"/>
      <c r="J47" s="388">
        <v>9619.5188099999996</v>
      </c>
      <c r="K47" s="76">
        <f>J47/$J$242</f>
        <v>1.1090746952882351E-2</v>
      </c>
      <c r="L47" s="76"/>
      <c r="M47" s="388">
        <v>2589093.2000000002</v>
      </c>
      <c r="N47" s="388">
        <v>43432.628896851224</v>
      </c>
      <c r="O47" s="71">
        <f t="shared" si="44"/>
        <v>33813.110086851222</v>
      </c>
      <c r="P47" s="76">
        <f t="shared" si="48"/>
        <v>0.77851861482192264</v>
      </c>
      <c r="Q47" s="76">
        <f t="shared" si="49"/>
        <v>0.22148138517807736</v>
      </c>
      <c r="R47" s="126">
        <f t="shared" si="45"/>
        <v>0</v>
      </c>
      <c r="S47" s="126">
        <f t="shared" si="50"/>
        <v>0.22148138517807736</v>
      </c>
      <c r="T47" s="126">
        <f t="shared" si="50"/>
        <v>-0.22148138517807736</v>
      </c>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0"/>
      <c r="BD47" s="240"/>
      <c r="BE47" s="240"/>
      <c r="BF47" s="240"/>
      <c r="BG47" s="240"/>
      <c r="BH47" s="240"/>
    </row>
    <row r="48" spans="2:60">
      <c r="B48" s="69">
        <f t="shared" si="46"/>
        <v>1</v>
      </c>
      <c r="C48" s="69">
        <f t="shared" si="15"/>
        <v>3</v>
      </c>
      <c r="D48" s="69" t="str">
        <f t="shared" si="47"/>
        <v>VA Electric</v>
      </c>
      <c r="E48" s="70">
        <v>2006</v>
      </c>
      <c r="F48" s="388">
        <v>2379</v>
      </c>
      <c r="G48" s="76">
        <f t="shared" si="43"/>
        <v>0.14059361690284664</v>
      </c>
      <c r="H48" s="71"/>
      <c r="I48" s="71"/>
      <c r="J48" s="388">
        <v>10982.850810000002</v>
      </c>
      <c r="K48" s="76">
        <f>J48/$J$243</f>
        <v>1.2024403705889813E-2</v>
      </c>
      <c r="L48" s="76"/>
      <c r="M48" s="388">
        <v>2929976.6</v>
      </c>
      <c r="N48" s="388">
        <v>32011.665064379726</v>
      </c>
      <c r="O48" s="71">
        <f t="shared" si="44"/>
        <v>21028.814254379722</v>
      </c>
      <c r="P48" s="76">
        <f t="shared" si="48"/>
        <v>0.6569109795472361</v>
      </c>
      <c r="Q48" s="76">
        <f t="shared" si="49"/>
        <v>0.3430890204527639</v>
      </c>
      <c r="R48" s="126">
        <f t="shared" si="45"/>
        <v>0</v>
      </c>
      <c r="S48" s="126">
        <f t="shared" si="50"/>
        <v>0.3430890204527639</v>
      </c>
      <c r="T48" s="126">
        <f t="shared" si="50"/>
        <v>-0.3430890204527639</v>
      </c>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0"/>
      <c r="BD48" s="240"/>
      <c r="BE48" s="240"/>
      <c r="BF48" s="240"/>
      <c r="BG48" s="240"/>
      <c r="BH48" s="240"/>
    </row>
    <row r="49" spans="2:60">
      <c r="B49" s="69">
        <f t="shared" si="46"/>
        <v>1</v>
      </c>
      <c r="C49" s="69">
        <f t="shared" si="15"/>
        <v>3</v>
      </c>
      <c r="D49" s="69" t="str">
        <f t="shared" si="47"/>
        <v>VA Electric</v>
      </c>
      <c r="E49" s="70">
        <v>2007</v>
      </c>
      <c r="F49" s="388">
        <v>1694</v>
      </c>
      <c r="G49" s="76">
        <f t="shared" si="43"/>
        <v>0.18650304863256295</v>
      </c>
      <c r="H49" s="71"/>
      <c r="I49" s="71"/>
      <c r="J49" s="388">
        <v>11785.71117</v>
      </c>
      <c r="K49" s="76">
        <f>J49/$J$244</f>
        <v>1.1848077024257359E-2</v>
      </c>
      <c r="L49" s="76"/>
      <c r="M49" s="388">
        <v>2767600.8</v>
      </c>
      <c r="N49" s="388">
        <v>33715.080391950483</v>
      </c>
      <c r="O49" s="71">
        <f t="shared" si="44"/>
        <v>21929.369221950481</v>
      </c>
      <c r="P49" s="76">
        <f t="shared" si="48"/>
        <v>0.65043206087641847</v>
      </c>
      <c r="Q49" s="76">
        <f t="shared" si="49"/>
        <v>0.34956793912358153</v>
      </c>
      <c r="R49" s="126">
        <f t="shared" si="45"/>
        <v>0</v>
      </c>
      <c r="S49" s="126">
        <f t="shared" si="50"/>
        <v>0.34956793912358153</v>
      </c>
      <c r="T49" s="126">
        <f t="shared" si="50"/>
        <v>-0.34956793912358153</v>
      </c>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row>
    <row r="50" spans="2:60">
      <c r="B50" s="69">
        <f t="shared" si="46"/>
        <v>1</v>
      </c>
      <c r="C50" s="69">
        <f t="shared" si="15"/>
        <v>3</v>
      </c>
      <c r="D50" s="69" t="str">
        <f t="shared" si="47"/>
        <v>VA Electric</v>
      </c>
      <c r="E50" s="70">
        <v>2008</v>
      </c>
      <c r="F50" s="388">
        <v>1950</v>
      </c>
      <c r="G50" s="76">
        <f t="shared" si="43"/>
        <v>0.11967088162978574</v>
      </c>
      <c r="H50" s="71"/>
      <c r="I50" s="71"/>
      <c r="J50" s="388">
        <v>12597.277470000001</v>
      </c>
      <c r="K50" s="76">
        <f>J50/$J$245</f>
        <v>1.1626435524692438E-2</v>
      </c>
      <c r="L50" s="76"/>
      <c r="M50" s="388">
        <v>2044218</v>
      </c>
      <c r="N50" s="388">
        <v>30817.60441221339</v>
      </c>
      <c r="O50" s="71">
        <f t="shared" si="44"/>
        <v>18220.326942213389</v>
      </c>
      <c r="P50" s="76">
        <f t="shared" si="48"/>
        <v>0.59123112551189905</v>
      </c>
      <c r="Q50" s="76">
        <f t="shared" si="49"/>
        <v>0.40876887448810095</v>
      </c>
      <c r="R50" s="126">
        <f t="shared" si="45"/>
        <v>0</v>
      </c>
      <c r="S50" s="126">
        <f t="shared" si="50"/>
        <v>0.40876887448810095</v>
      </c>
      <c r="T50" s="126">
        <f t="shared" si="50"/>
        <v>-0.40876887448810095</v>
      </c>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row>
    <row r="51" spans="2:60">
      <c r="B51" s="69">
        <f t="shared" si="46"/>
        <v>1</v>
      </c>
      <c r="C51" s="69">
        <f t="shared" si="15"/>
        <v>3</v>
      </c>
      <c r="D51" s="69" t="str">
        <f t="shared" si="47"/>
        <v>VA Electric</v>
      </c>
      <c r="E51" s="70">
        <v>2009</v>
      </c>
      <c r="F51" s="388">
        <v>2080</v>
      </c>
      <c r="G51" s="76">
        <f t="shared" si="43"/>
        <v>0.15440930145767476</v>
      </c>
      <c r="H51" s="71"/>
      <c r="I51" s="71"/>
      <c r="J51" s="388">
        <v>12129.21819</v>
      </c>
      <c r="K51" s="76">
        <f>J51/$J$246</f>
        <v>1.1300158134789698E-2</v>
      </c>
      <c r="L51" s="76"/>
      <c r="M51" s="388">
        <v>2813461</v>
      </c>
      <c r="N51" s="388">
        <v>32547.346347249768</v>
      </c>
      <c r="O51" s="71">
        <f t="shared" si="44"/>
        <v>20418.128157249768</v>
      </c>
      <c r="P51" s="76">
        <f t="shared" si="48"/>
        <v>0.62733618708595851</v>
      </c>
      <c r="Q51" s="76">
        <f t="shared" si="49"/>
        <v>0.37266381291404149</v>
      </c>
      <c r="R51" s="126">
        <f t="shared" si="45"/>
        <v>0</v>
      </c>
      <c r="S51" s="126">
        <f t="shared" si="50"/>
        <v>0.37266381291404149</v>
      </c>
      <c r="T51" s="126">
        <f t="shared" si="50"/>
        <v>-0.37266381291404149</v>
      </c>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row>
    <row r="52" spans="2:60">
      <c r="B52" s="69">
        <f t="shared" si="46"/>
        <v>1</v>
      </c>
      <c r="C52" s="69">
        <f t="shared" si="15"/>
        <v>3</v>
      </c>
      <c r="D52" s="69" t="str">
        <f t="shared" si="47"/>
        <v>VA Electric</v>
      </c>
      <c r="E52" s="70">
        <v>2010</v>
      </c>
      <c r="F52" s="388">
        <v>2080</v>
      </c>
      <c r="G52" s="76">
        <f t="shared" si="43"/>
        <v>0.17907203525641024</v>
      </c>
      <c r="H52" s="71"/>
      <c r="I52" s="71"/>
      <c r="J52" s="388">
        <v>10527.637650000001</v>
      </c>
      <c r="K52" s="76">
        <f>J52/$J$247</f>
        <v>9.1324469489386818E-3</v>
      </c>
      <c r="L52" s="76"/>
      <c r="M52" s="388">
        <v>3262835.7399999998</v>
      </c>
      <c r="N52" s="388">
        <v>42458.519756243048</v>
      </c>
      <c r="O52" s="71">
        <f t="shared" si="44"/>
        <v>31930.882106243047</v>
      </c>
      <c r="P52" s="76">
        <f t="shared" si="48"/>
        <v>0.75204887710547119</v>
      </c>
      <c r="Q52" s="76">
        <f t="shared" si="49"/>
        <v>0.24795112289452881</v>
      </c>
      <c r="R52" s="126">
        <f t="shared" si="45"/>
        <v>0</v>
      </c>
      <c r="S52" s="126">
        <f t="shared" si="50"/>
        <v>0.24795112289452881</v>
      </c>
      <c r="T52" s="126">
        <f t="shared" si="50"/>
        <v>-0.24795112289452881</v>
      </c>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row>
    <row r="53" spans="2:60">
      <c r="B53" s="69">
        <f t="shared" si="46"/>
        <v>1</v>
      </c>
      <c r="C53" s="69">
        <f t="shared" si="15"/>
        <v>3</v>
      </c>
      <c r="D53" s="69" t="str">
        <f t="shared" si="47"/>
        <v>VA Electric</v>
      </c>
      <c r="E53" s="70">
        <v>2011</v>
      </c>
      <c r="F53" s="388">
        <v>2080</v>
      </c>
      <c r="G53" s="76">
        <f t="shared" si="43"/>
        <v>0.16115412001668425</v>
      </c>
      <c r="H53" s="71"/>
      <c r="I53" s="71"/>
      <c r="J53" s="388">
        <v>11333.77965</v>
      </c>
      <c r="K53" s="76">
        <f>J53/$J$248</f>
        <v>9.8515576242529206E-3</v>
      </c>
      <c r="L53" s="76"/>
      <c r="M53" s="388">
        <v>2936356.99</v>
      </c>
      <c r="N53" s="388">
        <v>21335.973696428639</v>
      </c>
      <c r="O53" s="71">
        <f t="shared" si="44"/>
        <v>10002.194046428638</v>
      </c>
      <c r="P53" s="76">
        <f t="shared" si="48"/>
        <v>0.46879482458786842</v>
      </c>
      <c r="Q53" s="76">
        <f t="shared" si="49"/>
        <v>0.53120517541213164</v>
      </c>
      <c r="R53" s="126">
        <f t="shared" si="45"/>
        <v>0</v>
      </c>
      <c r="S53" s="126">
        <f t="shared" si="50"/>
        <v>0.53120517541213164</v>
      </c>
      <c r="T53" s="126">
        <f t="shared" si="50"/>
        <v>-0.53120517541213164</v>
      </c>
      <c r="U53" s="240"/>
      <c r="V53" s="240"/>
      <c r="W53" s="240"/>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40"/>
      <c r="BC53" s="240"/>
      <c r="BD53" s="240"/>
      <c r="BE53" s="240"/>
      <c r="BF53" s="240"/>
      <c r="BG53" s="240"/>
      <c r="BH53" s="240"/>
    </row>
    <row r="54" spans="2:60">
      <c r="B54" s="69">
        <f t="shared" si="46"/>
        <v>1</v>
      </c>
      <c r="C54" s="69">
        <f t="shared" si="15"/>
        <v>3</v>
      </c>
      <c r="D54" s="69" t="str">
        <f t="shared" si="47"/>
        <v>VA Electric</v>
      </c>
      <c r="E54" s="70">
        <v>2012</v>
      </c>
      <c r="F54" s="388">
        <v>2122</v>
      </c>
      <c r="G54" s="76">
        <f t="shared" si="43"/>
        <v>0.24182379582886826</v>
      </c>
      <c r="H54" s="71"/>
      <c r="I54" s="71"/>
      <c r="J54" s="388">
        <v>10517.659889999999</v>
      </c>
      <c r="K54" s="76">
        <f>J54/$J$249</f>
        <v>8.8620781018182264E-3</v>
      </c>
      <c r="L54" s="76"/>
      <c r="M54" s="388">
        <v>4495194.83</v>
      </c>
      <c r="N54" s="388">
        <v>13773.14417815394</v>
      </c>
      <c r="O54" s="71">
        <f t="shared" si="44"/>
        <v>3255.4842881539407</v>
      </c>
      <c r="P54" s="76">
        <f t="shared" si="48"/>
        <v>0.2363646416565926</v>
      </c>
      <c r="Q54" s="76">
        <f t="shared" si="49"/>
        <v>0.76363535834340746</v>
      </c>
      <c r="R54" s="126">
        <f t="shared" si="45"/>
        <v>0</v>
      </c>
      <c r="S54" s="126">
        <f t="shared" si="50"/>
        <v>0.76363535834340746</v>
      </c>
      <c r="T54" s="126">
        <f t="shared" si="50"/>
        <v>-0.76363535834340746</v>
      </c>
      <c r="U54" s="240"/>
      <c r="V54" s="240"/>
      <c r="W54" s="240"/>
      <c r="X54" s="240"/>
      <c r="Y54" s="240"/>
      <c r="Z54" s="240"/>
      <c r="AA54" s="240"/>
      <c r="AB54" s="240"/>
      <c r="AC54" s="240"/>
      <c r="AD54" s="240"/>
      <c r="AE54" s="240"/>
      <c r="AF54" s="240"/>
      <c r="AG54" s="240"/>
      <c r="AH54" s="240"/>
      <c r="AI54" s="240"/>
      <c r="AJ54" s="240"/>
      <c r="AK54" s="240"/>
      <c r="AL54" s="240"/>
      <c r="AM54" s="240"/>
      <c r="AN54" s="240"/>
      <c r="AO54" s="240"/>
      <c r="AP54" s="240"/>
      <c r="AQ54" s="240"/>
      <c r="AR54" s="240"/>
      <c r="AS54" s="240"/>
      <c r="AT54" s="240"/>
      <c r="AU54" s="240"/>
      <c r="AV54" s="240"/>
      <c r="AW54" s="240"/>
      <c r="AX54" s="240"/>
      <c r="AY54" s="240"/>
      <c r="AZ54" s="240"/>
      <c r="BA54" s="240"/>
      <c r="BB54" s="240"/>
      <c r="BC54" s="240"/>
      <c r="BD54" s="240"/>
      <c r="BE54" s="240"/>
      <c r="BF54" s="240"/>
      <c r="BG54" s="240"/>
      <c r="BH54" s="240"/>
    </row>
    <row r="55" spans="2:60">
      <c r="B55" s="69">
        <f t="shared" si="46"/>
        <v>1</v>
      </c>
      <c r="C55" s="69">
        <f t="shared" si="15"/>
        <v>3</v>
      </c>
      <c r="D55" s="69" t="str">
        <f t="shared" si="47"/>
        <v>VA Electric</v>
      </c>
      <c r="E55" s="70">
        <v>2013</v>
      </c>
      <c r="F55" s="388">
        <v>2122</v>
      </c>
      <c r="G55" s="76">
        <f t="shared" si="43"/>
        <v>0.15774044097710871</v>
      </c>
      <c r="H55" s="69"/>
      <c r="I55" s="69"/>
      <c r="J55" s="392">
        <v>10047.65229</v>
      </c>
      <c r="K55" s="76">
        <f>J55/$J$250</f>
        <v>8.563116240723782E-3</v>
      </c>
      <c r="L55" s="69"/>
      <c r="M55" s="388">
        <v>2932192.89</v>
      </c>
      <c r="N55" s="388">
        <v>29588.882999244845</v>
      </c>
      <c r="O55" s="71">
        <f t="shared" ref="O55:O56" si="51">N55-J55</f>
        <v>19541.230709244846</v>
      </c>
      <c r="P55" s="76">
        <f t="shared" ref="P55:P56" si="52">O55/N55</f>
        <v>0.66042475174691695</v>
      </c>
      <c r="Q55" s="76">
        <f t="shared" ref="Q55:Q56" si="53">1-P55</f>
        <v>0.33957524825308305</v>
      </c>
      <c r="R55" s="126">
        <f t="shared" ref="R55:R56" si="54">Q55*L55</f>
        <v>0</v>
      </c>
      <c r="S55" s="126">
        <f t="shared" ref="S55:S56" si="55">Q55-R55</f>
        <v>0.33957524825308305</v>
      </c>
      <c r="T55" s="126">
        <f t="shared" ref="T55:T56" si="56">R55-S55</f>
        <v>-0.33957524825308305</v>
      </c>
      <c r="U55" s="240"/>
      <c r="V55" s="240"/>
      <c r="W55" s="240"/>
      <c r="X55" s="240"/>
      <c r="Y55" s="240"/>
      <c r="Z55" s="240"/>
      <c r="AA55" s="240"/>
      <c r="AB55" s="240"/>
      <c r="AC55" s="240"/>
      <c r="AD55" s="240"/>
      <c r="AE55" s="240"/>
      <c r="AF55" s="240"/>
      <c r="AG55" s="240"/>
      <c r="AH55" s="240"/>
      <c r="AI55" s="240"/>
      <c r="AJ55" s="240"/>
      <c r="AK55" s="240"/>
      <c r="AL55" s="240"/>
      <c r="AM55" s="240"/>
      <c r="AN55" s="240"/>
      <c r="AO55" s="240"/>
      <c r="AP55" s="240"/>
      <c r="AQ55" s="240"/>
      <c r="AR55" s="240"/>
      <c r="AS55" s="240"/>
      <c r="AT55" s="240"/>
      <c r="AU55" s="240"/>
      <c r="AV55" s="240"/>
      <c r="AW55" s="240"/>
      <c r="AX55" s="240"/>
      <c r="AY55" s="240"/>
      <c r="AZ55" s="240"/>
      <c r="BA55" s="240"/>
      <c r="BB55" s="240"/>
      <c r="BC55" s="240"/>
      <c r="BD55" s="240"/>
      <c r="BE55" s="240"/>
      <c r="BF55" s="240"/>
      <c r="BG55" s="240"/>
      <c r="BH55" s="240"/>
    </row>
    <row r="56" spans="2:60">
      <c r="B56" s="69">
        <f t="shared" si="46"/>
        <v>1</v>
      </c>
      <c r="C56" s="69">
        <f t="shared" ref="C56:C92" si="57">IF(D56=D55,C55,C55+1)</f>
        <v>3</v>
      </c>
      <c r="D56" s="69" t="str">
        <f t="shared" si="47"/>
        <v>VA Electric</v>
      </c>
      <c r="E56" s="70">
        <v>2014</v>
      </c>
      <c r="F56" s="388">
        <v>2122</v>
      </c>
      <c r="G56" s="76">
        <f t="shared" si="43"/>
        <v>0.16653830979217502</v>
      </c>
      <c r="H56" s="69"/>
      <c r="I56" s="69"/>
      <c r="J56" s="392">
        <v>13058.98503</v>
      </c>
      <c r="K56" s="76">
        <f>J56/$J$251</f>
        <v>1.0848861000444235E-2</v>
      </c>
      <c r="L56" s="69"/>
      <c r="M56" s="388">
        <v>3095734.01</v>
      </c>
      <c r="N56" s="388">
        <v>50652.218574332495</v>
      </c>
      <c r="O56" s="71">
        <f t="shared" si="51"/>
        <v>37593.233544332499</v>
      </c>
      <c r="P56" s="76">
        <f t="shared" si="52"/>
        <v>0.74218335548647607</v>
      </c>
      <c r="Q56" s="76">
        <f t="shared" si="53"/>
        <v>0.25781664451352393</v>
      </c>
      <c r="R56" s="126">
        <f t="shared" si="54"/>
        <v>0</v>
      </c>
      <c r="S56" s="126">
        <f t="shared" si="55"/>
        <v>0.25781664451352393</v>
      </c>
      <c r="T56" s="126">
        <f t="shared" si="56"/>
        <v>-0.25781664451352393</v>
      </c>
      <c r="U56" s="240"/>
      <c r="V56" s="240"/>
      <c r="W56" s="240"/>
      <c r="X56" s="240"/>
      <c r="Y56" s="240"/>
      <c r="Z56" s="240"/>
      <c r="AA56" s="240"/>
      <c r="AB56" s="240"/>
      <c r="AC56" s="240"/>
      <c r="AD56" s="240"/>
      <c r="AE56" s="240"/>
      <c r="AF56" s="240"/>
      <c r="AG56" s="240"/>
      <c r="AH56" s="240"/>
      <c r="AI56" s="240"/>
      <c r="AJ56" s="240"/>
      <c r="AK56" s="240"/>
      <c r="AL56" s="240"/>
      <c r="AM56" s="240"/>
      <c r="AN56" s="240"/>
      <c r="AO56" s="240"/>
      <c r="AP56" s="240"/>
      <c r="AQ56" s="240"/>
      <c r="AR56" s="240"/>
      <c r="AS56" s="240"/>
      <c r="AT56" s="240"/>
      <c r="AU56" s="240"/>
      <c r="AV56" s="240"/>
      <c r="AW56" s="240"/>
      <c r="AX56" s="240"/>
      <c r="AY56" s="240"/>
      <c r="AZ56" s="240"/>
      <c r="BA56" s="240"/>
      <c r="BB56" s="240"/>
      <c r="BC56" s="240"/>
      <c r="BD56" s="240"/>
      <c r="BE56" s="240"/>
      <c r="BF56" s="240"/>
      <c r="BG56" s="240"/>
      <c r="BH56" s="240"/>
    </row>
    <row r="57" spans="2:60">
      <c r="B57" s="72">
        <f>'OPG hydro peers'!B8</f>
        <v>1</v>
      </c>
      <c r="C57" s="72">
        <f t="shared" si="57"/>
        <v>4</v>
      </c>
      <c r="D57" s="72" t="str">
        <f>'OPG hydro peers'!D8</f>
        <v>ID Power</v>
      </c>
      <c r="E57" s="73">
        <v>2002</v>
      </c>
      <c r="F57" s="389">
        <v>1695.38</v>
      </c>
      <c r="G57" s="75">
        <f t="shared" ref="G57:G69" si="58">M57/(F57*8760)</f>
        <v>0.40214344801997753</v>
      </c>
      <c r="H57" s="74"/>
      <c r="I57" s="74"/>
      <c r="J57" s="389">
        <v>19531.863720000001</v>
      </c>
      <c r="K57" s="75">
        <f>J57/$J$239</f>
        <v>2.7441433610235679E-2</v>
      </c>
      <c r="L57" s="75"/>
      <c r="M57" s="389">
        <v>5972445</v>
      </c>
      <c r="N57" s="389">
        <v>164988.6196401761</v>
      </c>
      <c r="O57" s="74">
        <f t="shared" ref="O57:O67" si="59">N57-J57</f>
        <v>145456.7559201761</v>
      </c>
      <c r="P57" s="75">
        <f>O57/N57</f>
        <v>0.88161690325916375</v>
      </c>
      <c r="Q57" s="75">
        <f>1-P57</f>
        <v>0.11838309674083625</v>
      </c>
      <c r="R57" s="125">
        <f t="shared" ref="R57:R67" si="60">Q57*L57</f>
        <v>0</v>
      </c>
      <c r="S57" s="125">
        <f>Q57-R57</f>
        <v>0.11838309674083625</v>
      </c>
      <c r="T57" s="125">
        <f>R57-S57</f>
        <v>-0.11838309674083625</v>
      </c>
      <c r="U57" s="240"/>
      <c r="V57" s="240"/>
      <c r="W57" s="240"/>
      <c r="X57" s="240"/>
      <c r="Y57" s="240"/>
      <c r="Z57" s="240"/>
      <c r="AA57" s="240"/>
      <c r="AB57" s="240"/>
      <c r="AC57" s="240"/>
      <c r="AD57" s="240"/>
      <c r="AE57" s="240"/>
      <c r="AF57" s="240"/>
      <c r="AG57" s="240"/>
      <c r="AH57" s="240"/>
      <c r="AI57" s="240"/>
      <c r="AJ57" s="240"/>
      <c r="AK57" s="240"/>
      <c r="AL57" s="240"/>
      <c r="AM57" s="240"/>
      <c r="AN57" s="240"/>
      <c r="AO57" s="240"/>
      <c r="AP57" s="240"/>
      <c r="AQ57" s="240"/>
      <c r="AR57" s="240"/>
      <c r="AS57" s="240"/>
      <c r="AT57" s="240"/>
      <c r="AU57" s="240"/>
      <c r="AV57" s="240"/>
      <c r="AW57" s="240"/>
      <c r="AX57" s="240"/>
      <c r="AY57" s="240"/>
      <c r="AZ57" s="240"/>
      <c r="BA57" s="240"/>
      <c r="BB57" s="240"/>
      <c r="BC57" s="240"/>
      <c r="BD57" s="240"/>
      <c r="BE57" s="240"/>
      <c r="BF57" s="240"/>
      <c r="BG57" s="240"/>
      <c r="BH57" s="240"/>
    </row>
    <row r="58" spans="2:60">
      <c r="B58" s="72">
        <f t="shared" ref="B58:B69" si="61">B57</f>
        <v>1</v>
      </c>
      <c r="C58" s="72">
        <f t="shared" si="57"/>
        <v>4</v>
      </c>
      <c r="D58" s="72" t="str">
        <f t="shared" ref="D58:D69" si="62">D57</f>
        <v>ID Power</v>
      </c>
      <c r="E58" s="73">
        <v>2003</v>
      </c>
      <c r="F58" s="389">
        <v>1695.38</v>
      </c>
      <c r="G58" s="75">
        <f t="shared" si="58"/>
        <v>0.40998358364291759</v>
      </c>
      <c r="H58" s="74"/>
      <c r="I58" s="74"/>
      <c r="J58" s="389">
        <v>20580.041430000001</v>
      </c>
      <c r="K58" s="75">
        <f>J58/$J$240</f>
        <v>2.5828191744098922E-2</v>
      </c>
      <c r="L58" s="75"/>
      <c r="M58" s="389">
        <v>6088883</v>
      </c>
      <c r="N58" s="389">
        <v>284528.62400695944</v>
      </c>
      <c r="O58" s="74">
        <f t="shared" si="59"/>
        <v>263948.58257695945</v>
      </c>
      <c r="P58" s="75">
        <f t="shared" ref="P58:P67" si="63">O58/N58</f>
        <v>0.92766969755037154</v>
      </c>
      <c r="Q58" s="75">
        <f t="shared" ref="Q58:Q67" si="64">1-P58</f>
        <v>7.2330302449628459E-2</v>
      </c>
      <c r="R58" s="125">
        <f t="shared" si="60"/>
        <v>0</v>
      </c>
      <c r="S58" s="125">
        <f t="shared" ref="S58:T67" si="65">Q58-R58</f>
        <v>7.2330302449628459E-2</v>
      </c>
      <c r="T58" s="125">
        <f t="shared" si="65"/>
        <v>-7.2330302449628459E-2</v>
      </c>
      <c r="U58" s="240"/>
      <c r="V58" s="240"/>
      <c r="W58" s="240"/>
      <c r="X58" s="240"/>
      <c r="Y58" s="240"/>
      <c r="Z58" s="240"/>
      <c r="AA58" s="240"/>
      <c r="AB58" s="240"/>
      <c r="AC58" s="240"/>
      <c r="AD58" s="240"/>
      <c r="AE58" s="240"/>
      <c r="AF58" s="240"/>
      <c r="AG58" s="240"/>
      <c r="AH58" s="240"/>
      <c r="AI58" s="240"/>
      <c r="AJ58" s="240"/>
      <c r="AK58" s="240"/>
      <c r="AL58" s="240"/>
      <c r="AM58" s="240"/>
      <c r="AN58" s="240"/>
      <c r="AO58" s="240"/>
      <c r="AP58" s="240"/>
      <c r="AQ58" s="240"/>
      <c r="AR58" s="240"/>
      <c r="AS58" s="240"/>
      <c r="AT58" s="240"/>
      <c r="AU58" s="240"/>
      <c r="AV58" s="240"/>
      <c r="AW58" s="240"/>
      <c r="AX58" s="240"/>
      <c r="AY58" s="240"/>
      <c r="AZ58" s="240"/>
      <c r="BA58" s="240"/>
      <c r="BB58" s="240"/>
      <c r="BC58" s="240"/>
      <c r="BD58" s="240"/>
      <c r="BE58" s="240"/>
      <c r="BF58" s="240"/>
      <c r="BG58" s="240"/>
      <c r="BH58" s="240"/>
    </row>
    <row r="59" spans="2:60">
      <c r="B59" s="72">
        <f t="shared" si="61"/>
        <v>1</v>
      </c>
      <c r="C59" s="72">
        <f t="shared" si="57"/>
        <v>4</v>
      </c>
      <c r="D59" s="72" t="str">
        <f t="shared" si="62"/>
        <v>ID Power</v>
      </c>
      <c r="E59" s="73">
        <v>2004</v>
      </c>
      <c r="F59" s="389">
        <v>1695.38</v>
      </c>
      <c r="G59" s="75">
        <f t="shared" si="58"/>
        <v>0.4021234500787555</v>
      </c>
      <c r="H59" s="74"/>
      <c r="I59" s="74"/>
      <c r="J59" s="389">
        <v>24071.931479999999</v>
      </c>
      <c r="K59" s="75">
        <f>J59/$J$241</f>
        <v>2.9308831992103445E-2</v>
      </c>
      <c r="L59" s="75"/>
      <c r="M59" s="389">
        <v>5972148</v>
      </c>
      <c r="N59" s="389">
        <v>305563.26775860606</v>
      </c>
      <c r="O59" s="74">
        <f t="shared" si="59"/>
        <v>281491.33627860609</v>
      </c>
      <c r="P59" s="75">
        <f t="shared" si="63"/>
        <v>0.921221121712127</v>
      </c>
      <c r="Q59" s="75">
        <f t="shared" si="64"/>
        <v>7.8778878287873E-2</v>
      </c>
      <c r="R59" s="125">
        <f t="shared" si="60"/>
        <v>0</v>
      </c>
      <c r="S59" s="125">
        <f t="shared" si="65"/>
        <v>7.8778878287873E-2</v>
      </c>
      <c r="T59" s="125">
        <f t="shared" si="65"/>
        <v>-7.8778878287873E-2</v>
      </c>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0"/>
      <c r="AX59" s="240"/>
      <c r="AY59" s="240"/>
      <c r="AZ59" s="240"/>
      <c r="BA59" s="240"/>
      <c r="BB59" s="240"/>
      <c r="BC59" s="240"/>
      <c r="BD59" s="240"/>
      <c r="BE59" s="240"/>
      <c r="BF59" s="240"/>
      <c r="BG59" s="240"/>
      <c r="BH59" s="240"/>
    </row>
    <row r="60" spans="2:60">
      <c r="B60" s="72">
        <f t="shared" si="61"/>
        <v>1</v>
      </c>
      <c r="C60" s="72">
        <f t="shared" si="57"/>
        <v>4</v>
      </c>
      <c r="D60" s="72" t="str">
        <f t="shared" si="62"/>
        <v>ID Power</v>
      </c>
      <c r="E60" s="73">
        <v>2005</v>
      </c>
      <c r="F60" s="389">
        <v>1695.38</v>
      </c>
      <c r="G60" s="75">
        <f t="shared" si="58"/>
        <v>0.41375019923874773</v>
      </c>
      <c r="H60" s="74"/>
      <c r="I60" s="74"/>
      <c r="J60" s="389">
        <v>25021.325430000001</v>
      </c>
      <c r="K60" s="75">
        <f>J60/$J$242</f>
        <v>2.8848136195894627E-2</v>
      </c>
      <c r="L60" s="75"/>
      <c r="M60" s="389">
        <v>6144823</v>
      </c>
      <c r="N60" s="389">
        <v>431549.9626206687</v>
      </c>
      <c r="O60" s="74">
        <f t="shared" si="59"/>
        <v>406528.63719066867</v>
      </c>
      <c r="P60" s="75">
        <f t="shared" si="63"/>
        <v>0.94201986421675654</v>
      </c>
      <c r="Q60" s="75">
        <f t="shared" si="64"/>
        <v>5.7980135783243458E-2</v>
      </c>
      <c r="R60" s="125">
        <f t="shared" si="60"/>
        <v>0</v>
      </c>
      <c r="S60" s="125">
        <f t="shared" si="65"/>
        <v>5.7980135783243458E-2</v>
      </c>
      <c r="T60" s="125">
        <f t="shared" si="65"/>
        <v>-5.7980135783243458E-2</v>
      </c>
      <c r="U60" s="240"/>
      <c r="V60" s="240"/>
      <c r="W60" s="240"/>
      <c r="X60" s="240"/>
      <c r="Y60" s="240"/>
      <c r="Z60" s="240"/>
      <c r="AA60" s="240"/>
      <c r="AB60" s="240"/>
      <c r="AC60" s="240"/>
      <c r="AD60" s="240"/>
      <c r="AE60" s="240"/>
      <c r="AF60" s="240"/>
      <c r="AG60" s="240"/>
      <c r="AH60" s="240"/>
      <c r="AI60" s="240"/>
      <c r="AJ60" s="240"/>
      <c r="AK60" s="240"/>
      <c r="AL60" s="240"/>
      <c r="AM60" s="240"/>
      <c r="AN60" s="240"/>
      <c r="AO60" s="240"/>
      <c r="AP60" s="240"/>
      <c r="AQ60" s="240"/>
      <c r="AR60" s="240"/>
      <c r="AS60" s="240"/>
      <c r="AT60" s="240"/>
      <c r="AU60" s="240"/>
      <c r="AV60" s="240"/>
      <c r="AW60" s="240"/>
      <c r="AX60" s="240"/>
      <c r="AY60" s="240"/>
      <c r="AZ60" s="240"/>
      <c r="BA60" s="240"/>
      <c r="BB60" s="240"/>
      <c r="BC60" s="240"/>
      <c r="BD60" s="240"/>
      <c r="BE60" s="240"/>
      <c r="BF60" s="240"/>
      <c r="BG60" s="240"/>
      <c r="BH60" s="240"/>
    </row>
    <row r="61" spans="2:60">
      <c r="B61" s="72">
        <f t="shared" si="61"/>
        <v>1</v>
      </c>
      <c r="C61" s="72">
        <f t="shared" si="57"/>
        <v>4</v>
      </c>
      <c r="D61" s="72" t="str">
        <f t="shared" si="62"/>
        <v>ID Power</v>
      </c>
      <c r="E61" s="73">
        <v>2006</v>
      </c>
      <c r="F61" s="389">
        <v>1695.38</v>
      </c>
      <c r="G61" s="75">
        <f t="shared" si="58"/>
        <v>0.61545313772680421</v>
      </c>
      <c r="H61" s="74"/>
      <c r="I61" s="74"/>
      <c r="J61" s="389">
        <v>27153.40005</v>
      </c>
      <c r="K61" s="75">
        <f>J61/$J$243</f>
        <v>2.9728478501359939E-2</v>
      </c>
      <c r="L61" s="75"/>
      <c r="M61" s="389">
        <v>9140420</v>
      </c>
      <c r="N61" s="389">
        <v>508252.05472358083</v>
      </c>
      <c r="O61" s="74">
        <f t="shared" si="59"/>
        <v>481098.65467358084</v>
      </c>
      <c r="P61" s="75">
        <f t="shared" si="63"/>
        <v>0.94657493305212959</v>
      </c>
      <c r="Q61" s="75">
        <f t="shared" si="64"/>
        <v>5.3425066947870414E-2</v>
      </c>
      <c r="R61" s="125">
        <f t="shared" si="60"/>
        <v>0</v>
      </c>
      <c r="S61" s="125">
        <f t="shared" si="65"/>
        <v>5.3425066947870414E-2</v>
      </c>
      <c r="T61" s="125">
        <f t="shared" si="65"/>
        <v>-5.3425066947870414E-2</v>
      </c>
      <c r="U61" s="240"/>
      <c r="V61" s="240"/>
      <c r="W61" s="240"/>
      <c r="X61" s="240"/>
      <c r="Y61" s="240"/>
      <c r="Z61" s="240"/>
      <c r="AA61" s="240"/>
      <c r="AB61" s="240"/>
      <c r="AC61" s="240"/>
      <c r="AD61" s="240"/>
      <c r="AE61" s="240"/>
      <c r="AF61" s="240"/>
      <c r="AG61" s="240"/>
      <c r="AH61" s="240"/>
      <c r="AI61" s="240"/>
      <c r="AJ61" s="240"/>
      <c r="AK61" s="240"/>
      <c r="AL61" s="240"/>
      <c r="AM61" s="240"/>
      <c r="AN61" s="240"/>
      <c r="AO61" s="240"/>
      <c r="AP61" s="240"/>
      <c r="AQ61" s="240"/>
      <c r="AR61" s="240"/>
      <c r="AS61" s="240"/>
      <c r="AT61" s="240"/>
      <c r="AU61" s="240"/>
      <c r="AV61" s="240"/>
      <c r="AW61" s="240"/>
      <c r="AX61" s="240"/>
      <c r="AY61" s="240"/>
      <c r="AZ61" s="240"/>
      <c r="BA61" s="240"/>
      <c r="BB61" s="240"/>
      <c r="BC61" s="240"/>
      <c r="BD61" s="240"/>
      <c r="BE61" s="240"/>
      <c r="BF61" s="240"/>
      <c r="BG61" s="240"/>
      <c r="BH61" s="240"/>
    </row>
    <row r="62" spans="2:60">
      <c r="B62" s="72">
        <f t="shared" si="61"/>
        <v>1</v>
      </c>
      <c r="C62" s="72">
        <f t="shared" si="57"/>
        <v>4</v>
      </c>
      <c r="D62" s="72" t="str">
        <f t="shared" si="62"/>
        <v>ID Power</v>
      </c>
      <c r="E62" s="73">
        <v>2007</v>
      </c>
      <c r="F62" s="389">
        <v>1695.38</v>
      </c>
      <c r="G62" s="75">
        <f t="shared" si="58"/>
        <v>0.4115001278521575</v>
      </c>
      <c r="H62" s="74"/>
      <c r="I62" s="74"/>
      <c r="J62" s="389">
        <v>28498.606769999999</v>
      </c>
      <c r="K62" s="75">
        <f>J62/$J$244</f>
        <v>2.8649411412224705E-2</v>
      </c>
      <c r="L62" s="75"/>
      <c r="M62" s="389">
        <v>6111406</v>
      </c>
      <c r="N62" s="389">
        <v>394717.87990298856</v>
      </c>
      <c r="O62" s="74">
        <f t="shared" si="59"/>
        <v>366219.27313298854</v>
      </c>
      <c r="P62" s="75">
        <f t="shared" si="63"/>
        <v>0.92780006120572944</v>
      </c>
      <c r="Q62" s="75">
        <f t="shared" si="64"/>
        <v>7.2199938794270557E-2</v>
      </c>
      <c r="R62" s="125">
        <f t="shared" si="60"/>
        <v>0</v>
      </c>
      <c r="S62" s="125">
        <f t="shared" si="65"/>
        <v>7.2199938794270557E-2</v>
      </c>
      <c r="T62" s="125">
        <f t="shared" si="65"/>
        <v>-7.2199938794270557E-2</v>
      </c>
      <c r="U62" s="240"/>
      <c r="V62" s="240"/>
      <c r="W62" s="240"/>
      <c r="X62" s="240"/>
      <c r="Y62" s="240"/>
      <c r="Z62" s="240"/>
      <c r="AA62" s="240"/>
      <c r="AB62" s="240"/>
      <c r="AC62" s="240"/>
      <c r="AD62" s="240"/>
      <c r="AE62" s="240"/>
      <c r="AF62" s="240"/>
      <c r="AG62" s="240"/>
      <c r="AH62" s="240"/>
      <c r="AI62" s="240"/>
      <c r="AJ62" s="240"/>
      <c r="AK62" s="240"/>
      <c r="AL62" s="240"/>
      <c r="AM62" s="240"/>
      <c r="AN62" s="240"/>
      <c r="AO62" s="240"/>
      <c r="AP62" s="240"/>
      <c r="AQ62" s="240"/>
      <c r="AR62" s="240"/>
      <c r="AS62" s="240"/>
      <c r="AT62" s="240"/>
      <c r="AU62" s="240"/>
      <c r="AV62" s="240"/>
      <c r="AW62" s="240"/>
      <c r="AX62" s="240"/>
      <c r="AY62" s="240"/>
      <c r="AZ62" s="240"/>
      <c r="BA62" s="240"/>
      <c r="BB62" s="240"/>
      <c r="BC62" s="240"/>
      <c r="BD62" s="240"/>
      <c r="BE62" s="240"/>
      <c r="BF62" s="240"/>
      <c r="BG62" s="240"/>
      <c r="BH62" s="240"/>
    </row>
    <row r="63" spans="2:60">
      <c r="B63" s="72">
        <f t="shared" si="61"/>
        <v>1</v>
      </c>
      <c r="C63" s="72">
        <f t="shared" si="57"/>
        <v>4</v>
      </c>
      <c r="D63" s="72" t="str">
        <f t="shared" si="62"/>
        <v>ID Power</v>
      </c>
      <c r="E63" s="73">
        <v>2008</v>
      </c>
      <c r="F63" s="389">
        <v>1695.38</v>
      </c>
      <c r="G63" s="75">
        <f t="shared" si="58"/>
        <v>0.46053817705285666</v>
      </c>
      <c r="H63" s="74"/>
      <c r="I63" s="74"/>
      <c r="J63" s="389">
        <v>30234.393840000001</v>
      </c>
      <c r="K63" s="75">
        <f>J63/$J$245</f>
        <v>2.7904301659310689E-2</v>
      </c>
      <c r="L63" s="75"/>
      <c r="M63" s="389">
        <v>6839696</v>
      </c>
      <c r="N63" s="389">
        <v>518482.50622869655</v>
      </c>
      <c r="O63" s="74">
        <f t="shared" si="59"/>
        <v>488248.11238869658</v>
      </c>
      <c r="P63" s="75">
        <f t="shared" si="63"/>
        <v>0.94168676189305422</v>
      </c>
      <c r="Q63" s="75">
        <f t="shared" si="64"/>
        <v>5.8313238106945775E-2</v>
      </c>
      <c r="R63" s="125">
        <f t="shared" si="60"/>
        <v>0</v>
      </c>
      <c r="S63" s="125">
        <f t="shared" si="65"/>
        <v>5.8313238106945775E-2</v>
      </c>
      <c r="T63" s="125">
        <f t="shared" si="65"/>
        <v>-5.8313238106945775E-2</v>
      </c>
      <c r="U63" s="240"/>
      <c r="V63" s="240"/>
      <c r="W63" s="240"/>
      <c r="X63" s="240"/>
      <c r="Y63" s="240"/>
      <c r="Z63" s="240"/>
      <c r="AA63" s="240"/>
      <c r="AB63" s="240"/>
      <c r="AC63" s="240"/>
      <c r="AD63" s="240"/>
      <c r="AE63" s="240"/>
      <c r="AF63" s="240"/>
      <c r="AG63" s="240"/>
      <c r="AH63" s="240"/>
      <c r="AI63" s="240"/>
      <c r="AJ63" s="240"/>
      <c r="AK63" s="240"/>
      <c r="AL63" s="240"/>
      <c r="AM63" s="240"/>
      <c r="AN63" s="240"/>
      <c r="AO63" s="240"/>
      <c r="AP63" s="240"/>
      <c r="AQ63" s="240"/>
      <c r="AR63" s="240"/>
      <c r="AS63" s="240"/>
      <c r="AT63" s="240"/>
      <c r="AU63" s="240"/>
      <c r="AV63" s="240"/>
      <c r="AW63" s="240"/>
      <c r="AX63" s="240"/>
      <c r="AY63" s="240"/>
      <c r="AZ63" s="240"/>
      <c r="BA63" s="240"/>
      <c r="BB63" s="240"/>
      <c r="BC63" s="240"/>
      <c r="BD63" s="240"/>
      <c r="BE63" s="240"/>
      <c r="BF63" s="240"/>
      <c r="BG63" s="240"/>
      <c r="BH63" s="240"/>
    </row>
    <row r="64" spans="2:60">
      <c r="B64" s="72">
        <f t="shared" si="61"/>
        <v>1</v>
      </c>
      <c r="C64" s="72">
        <f t="shared" si="57"/>
        <v>4</v>
      </c>
      <c r="D64" s="72" t="str">
        <f t="shared" si="62"/>
        <v>ID Power</v>
      </c>
      <c r="E64" s="73">
        <v>2009</v>
      </c>
      <c r="F64" s="389">
        <v>1695.38</v>
      </c>
      <c r="G64" s="75">
        <f t="shared" si="58"/>
        <v>0.54055593253133638</v>
      </c>
      <c r="H64" s="74"/>
      <c r="I64" s="74"/>
      <c r="J64" s="389">
        <v>29840.7225</v>
      </c>
      <c r="K64" s="75">
        <f>J64/$J$246</f>
        <v>2.7801040250424992E-2</v>
      </c>
      <c r="L64" s="75"/>
      <c r="M64" s="389">
        <v>8028082</v>
      </c>
      <c r="N64" s="389">
        <v>304444.61121872417</v>
      </c>
      <c r="O64" s="74">
        <f t="shared" si="59"/>
        <v>274603.88871872419</v>
      </c>
      <c r="P64" s="75">
        <f t="shared" si="63"/>
        <v>0.90198308197821475</v>
      </c>
      <c r="Q64" s="75">
        <f t="shared" si="64"/>
        <v>9.8016918021785249E-2</v>
      </c>
      <c r="R64" s="125">
        <f t="shared" si="60"/>
        <v>0</v>
      </c>
      <c r="S64" s="125">
        <f t="shared" si="65"/>
        <v>9.8016918021785249E-2</v>
      </c>
      <c r="T64" s="125">
        <f t="shared" si="65"/>
        <v>-9.8016918021785249E-2</v>
      </c>
      <c r="U64" s="240"/>
      <c r="V64" s="240"/>
      <c r="W64" s="240"/>
      <c r="X64" s="240"/>
      <c r="Y64" s="240"/>
      <c r="Z64" s="240"/>
      <c r="AA64" s="240"/>
      <c r="AB64" s="240"/>
      <c r="AC64" s="240"/>
      <c r="AD64" s="240"/>
      <c r="AE64" s="240"/>
      <c r="AF64" s="240"/>
      <c r="AG64" s="240"/>
      <c r="AH64" s="240"/>
      <c r="AI64" s="240"/>
      <c r="AJ64" s="240"/>
      <c r="AK64" s="240"/>
      <c r="AL64" s="240"/>
      <c r="AM64" s="240"/>
      <c r="AN64" s="240"/>
      <c r="AO64" s="240"/>
      <c r="AP64" s="240"/>
      <c r="AQ64" s="240"/>
      <c r="AR64" s="240"/>
      <c r="AS64" s="240"/>
      <c r="AT64" s="240"/>
      <c r="AU64" s="240"/>
      <c r="AV64" s="240"/>
      <c r="AW64" s="240"/>
      <c r="AX64" s="240"/>
      <c r="AY64" s="240"/>
      <c r="AZ64" s="240"/>
      <c r="BA64" s="240"/>
      <c r="BB64" s="240"/>
      <c r="BC64" s="240"/>
      <c r="BD64" s="240"/>
      <c r="BE64" s="240"/>
      <c r="BF64" s="240"/>
      <c r="BG64" s="240"/>
      <c r="BH64" s="240"/>
    </row>
    <row r="65" spans="2:60">
      <c r="B65" s="72">
        <f t="shared" si="61"/>
        <v>1</v>
      </c>
      <c r="C65" s="72">
        <f t="shared" si="57"/>
        <v>4</v>
      </c>
      <c r="D65" s="72" t="str">
        <f t="shared" si="62"/>
        <v>ID Power</v>
      </c>
      <c r="E65" s="73">
        <v>2010</v>
      </c>
      <c r="F65" s="389">
        <v>1695.38</v>
      </c>
      <c r="G65" s="75">
        <f t="shared" si="58"/>
        <v>0.48997124120986113</v>
      </c>
      <c r="H65" s="74"/>
      <c r="I65" s="74"/>
      <c r="J65" s="389">
        <v>30973.16259</v>
      </c>
      <c r="K65" s="75">
        <f>J65/$J$247</f>
        <v>2.6868398552264687E-2</v>
      </c>
      <c r="L65" s="75"/>
      <c r="M65" s="389">
        <v>7276822</v>
      </c>
      <c r="N65" s="389">
        <v>292885.50805444067</v>
      </c>
      <c r="O65" s="74">
        <f t="shared" si="59"/>
        <v>261912.34546444067</v>
      </c>
      <c r="P65" s="75">
        <f t="shared" si="63"/>
        <v>0.89424822417556149</v>
      </c>
      <c r="Q65" s="75">
        <f t="shared" si="64"/>
        <v>0.10575177582443851</v>
      </c>
      <c r="R65" s="125">
        <f t="shared" si="60"/>
        <v>0</v>
      </c>
      <c r="S65" s="125">
        <f t="shared" si="65"/>
        <v>0.10575177582443851</v>
      </c>
      <c r="T65" s="125">
        <f t="shared" si="65"/>
        <v>-0.10575177582443851</v>
      </c>
      <c r="U65" s="240"/>
      <c r="V65" s="240"/>
      <c r="W65" s="240"/>
      <c r="X65" s="240"/>
      <c r="Y65" s="240"/>
      <c r="Z65" s="240"/>
      <c r="AA65" s="240"/>
      <c r="AB65" s="240"/>
      <c r="AC65" s="240"/>
      <c r="AD65" s="240"/>
      <c r="AE65" s="240"/>
      <c r="AF65" s="240"/>
      <c r="AG65" s="240"/>
      <c r="AH65" s="240"/>
      <c r="AI65" s="240"/>
      <c r="AJ65" s="240"/>
      <c r="AK65" s="240"/>
      <c r="AL65" s="240"/>
      <c r="AM65" s="240"/>
      <c r="AN65" s="240"/>
      <c r="AO65" s="240"/>
      <c r="AP65" s="240"/>
      <c r="AQ65" s="240"/>
      <c r="AR65" s="240"/>
      <c r="AS65" s="240"/>
      <c r="AT65" s="240"/>
      <c r="AU65" s="240"/>
      <c r="AV65" s="240"/>
      <c r="AW65" s="240"/>
      <c r="AX65" s="240"/>
      <c r="AY65" s="240"/>
      <c r="AZ65" s="240"/>
      <c r="BA65" s="240"/>
      <c r="BB65" s="240"/>
      <c r="BC65" s="240"/>
      <c r="BD65" s="240"/>
      <c r="BE65" s="240"/>
      <c r="BF65" s="240"/>
      <c r="BG65" s="240"/>
      <c r="BH65" s="240"/>
    </row>
    <row r="66" spans="2:60">
      <c r="B66" s="72">
        <f t="shared" si="61"/>
        <v>1</v>
      </c>
      <c r="C66" s="72">
        <f t="shared" si="57"/>
        <v>4</v>
      </c>
      <c r="D66" s="72" t="str">
        <f t="shared" si="62"/>
        <v>ID Power</v>
      </c>
      <c r="E66" s="73">
        <v>2011</v>
      </c>
      <c r="F66" s="389">
        <v>1695.38</v>
      </c>
      <c r="G66" s="75">
        <f t="shared" si="58"/>
        <v>0.73414098621281332</v>
      </c>
      <c r="H66" s="74"/>
      <c r="I66" s="74"/>
      <c r="J66" s="389">
        <v>31170.94413</v>
      </c>
      <c r="K66" s="75">
        <f>J66/$J$248</f>
        <v>2.7094434670702577E-2</v>
      </c>
      <c r="L66" s="75"/>
      <c r="M66" s="389">
        <v>10903116</v>
      </c>
      <c r="N66" s="389">
        <v>348149.23518379143</v>
      </c>
      <c r="O66" s="74">
        <f t="shared" si="59"/>
        <v>316978.29105379141</v>
      </c>
      <c r="P66" s="75">
        <f t="shared" si="63"/>
        <v>0.91046671662643586</v>
      </c>
      <c r="Q66" s="75">
        <f t="shared" si="64"/>
        <v>8.9533283373564143E-2</v>
      </c>
      <c r="R66" s="125">
        <f t="shared" si="60"/>
        <v>0</v>
      </c>
      <c r="S66" s="125">
        <f t="shared" si="65"/>
        <v>8.9533283373564143E-2</v>
      </c>
      <c r="T66" s="125">
        <f t="shared" si="65"/>
        <v>-8.9533283373564143E-2</v>
      </c>
      <c r="U66" s="240"/>
      <c r="V66" s="240"/>
      <c r="W66" s="240"/>
      <c r="X66" s="240"/>
      <c r="Y66" s="240"/>
      <c r="Z66" s="240"/>
      <c r="AA66" s="240"/>
      <c r="AB66" s="240"/>
      <c r="AC66" s="240"/>
      <c r="AD66" s="240"/>
      <c r="AE66" s="240"/>
      <c r="AF66" s="240"/>
      <c r="AG66" s="240"/>
      <c r="AH66" s="240"/>
      <c r="AI66" s="240"/>
      <c r="AJ66" s="240"/>
      <c r="AK66" s="240"/>
      <c r="AL66" s="240"/>
      <c r="AM66" s="240"/>
      <c r="AN66" s="240"/>
      <c r="AO66" s="240"/>
      <c r="AP66" s="240"/>
      <c r="AQ66" s="240"/>
      <c r="AR66" s="240"/>
      <c r="AS66" s="240"/>
      <c r="AT66" s="240"/>
      <c r="AU66" s="240"/>
      <c r="AV66" s="240"/>
      <c r="AW66" s="240"/>
      <c r="AX66" s="240"/>
      <c r="AY66" s="240"/>
      <c r="AZ66" s="240"/>
      <c r="BA66" s="240"/>
      <c r="BB66" s="240"/>
      <c r="BC66" s="240"/>
      <c r="BD66" s="240"/>
      <c r="BE66" s="240"/>
      <c r="BF66" s="240"/>
      <c r="BG66" s="240"/>
      <c r="BH66" s="240"/>
    </row>
    <row r="67" spans="2:60">
      <c r="B67" s="72">
        <f t="shared" si="61"/>
        <v>1</v>
      </c>
      <c r="C67" s="72">
        <f t="shared" si="57"/>
        <v>4</v>
      </c>
      <c r="D67" s="72" t="str">
        <f t="shared" si="62"/>
        <v>ID Power</v>
      </c>
      <c r="E67" s="73">
        <v>2012</v>
      </c>
      <c r="F67" s="389">
        <v>1695.38</v>
      </c>
      <c r="G67" s="75">
        <f t="shared" si="58"/>
        <v>0.5307817872595042</v>
      </c>
      <c r="H67" s="74"/>
      <c r="I67" s="74"/>
      <c r="J67" s="389">
        <v>32385.165689999998</v>
      </c>
      <c r="K67" s="75">
        <f>J67/$J$249</f>
        <v>2.7287426165774595E-2</v>
      </c>
      <c r="L67" s="75"/>
      <c r="M67" s="389">
        <v>7882921</v>
      </c>
      <c r="N67" s="389">
        <v>199877.43332441684</v>
      </c>
      <c r="O67" s="74">
        <f t="shared" si="59"/>
        <v>167492.26763441684</v>
      </c>
      <c r="P67" s="75">
        <f t="shared" si="63"/>
        <v>0.83797487714665464</v>
      </c>
      <c r="Q67" s="75">
        <f t="shared" si="64"/>
        <v>0.16202512285334536</v>
      </c>
      <c r="R67" s="125">
        <f t="shared" si="60"/>
        <v>0</v>
      </c>
      <c r="S67" s="125">
        <f t="shared" si="65"/>
        <v>0.16202512285334536</v>
      </c>
      <c r="T67" s="125">
        <f t="shared" si="65"/>
        <v>-0.16202512285334536</v>
      </c>
      <c r="U67" s="240"/>
      <c r="V67" s="240"/>
      <c r="W67" s="240"/>
      <c r="X67" s="240"/>
      <c r="Y67" s="240"/>
      <c r="Z67" s="240"/>
      <c r="AA67" s="240"/>
      <c r="AB67" s="240"/>
      <c r="AC67" s="240"/>
      <c r="AD67" s="240"/>
      <c r="AE67" s="240"/>
      <c r="AF67" s="240"/>
      <c r="AG67" s="240"/>
      <c r="AH67" s="240"/>
      <c r="AI67" s="240"/>
      <c r="AJ67" s="240"/>
      <c r="AK67" s="240"/>
      <c r="AL67" s="240"/>
      <c r="AM67" s="240"/>
      <c r="AN67" s="240"/>
      <c r="AO67" s="240"/>
      <c r="AP67" s="240"/>
      <c r="AQ67" s="240"/>
      <c r="AR67" s="240"/>
      <c r="AS67" s="240"/>
      <c r="AT67" s="240"/>
      <c r="AU67" s="240"/>
      <c r="AV67" s="240"/>
      <c r="AW67" s="240"/>
      <c r="AX67" s="240"/>
      <c r="AY67" s="240"/>
      <c r="AZ67" s="240"/>
      <c r="BA67" s="240"/>
      <c r="BB67" s="240"/>
      <c r="BC67" s="240"/>
      <c r="BD67" s="240"/>
      <c r="BE67" s="240"/>
      <c r="BF67" s="240"/>
      <c r="BG67" s="240"/>
      <c r="BH67" s="240"/>
    </row>
    <row r="68" spans="2:60">
      <c r="B68" s="72">
        <f t="shared" si="61"/>
        <v>1</v>
      </c>
      <c r="C68" s="72">
        <f t="shared" si="57"/>
        <v>4</v>
      </c>
      <c r="D68" s="72" t="str">
        <f t="shared" si="62"/>
        <v>ID Power</v>
      </c>
      <c r="E68" s="73">
        <v>2013</v>
      </c>
      <c r="F68" s="389">
        <v>1695.38</v>
      </c>
      <c r="G68" s="75">
        <f t="shared" si="58"/>
        <v>0.37624887479597385</v>
      </c>
      <c r="H68" s="72"/>
      <c r="I68" s="72"/>
      <c r="J68" s="389">
        <v>33355.754999999997</v>
      </c>
      <c r="K68" s="75">
        <f>J68/$J$250</f>
        <v>2.8427457391850437E-2</v>
      </c>
      <c r="L68" s="72"/>
      <c r="M68" s="389">
        <v>5587871</v>
      </c>
      <c r="N68" s="389">
        <v>230877.14055239077</v>
      </c>
      <c r="O68" s="74">
        <f t="shared" ref="O68:O69" si="66">N68-J68</f>
        <v>197521.38555239077</v>
      </c>
      <c r="P68" s="75">
        <f t="shared" ref="P68:P69" si="67">O68/N68</f>
        <v>0.85552595237365692</v>
      </c>
      <c r="Q68" s="75">
        <f t="shared" ref="Q68:Q69" si="68">1-P68</f>
        <v>0.14447404762634308</v>
      </c>
      <c r="R68" s="125">
        <f t="shared" ref="R68:R69" si="69">Q68*L68</f>
        <v>0</v>
      </c>
      <c r="S68" s="125">
        <f t="shared" ref="S68:S69" si="70">Q68-R68</f>
        <v>0.14447404762634308</v>
      </c>
      <c r="T68" s="125">
        <f t="shared" ref="T68:T69" si="71">R68-S68</f>
        <v>-0.14447404762634308</v>
      </c>
      <c r="U68" s="240"/>
      <c r="V68" s="240"/>
      <c r="W68" s="240"/>
      <c r="X68" s="240"/>
      <c r="Y68" s="240"/>
      <c r="Z68" s="240"/>
      <c r="AA68" s="240"/>
      <c r="AB68" s="240"/>
      <c r="AC68" s="240"/>
      <c r="AD68" s="240"/>
      <c r="AE68" s="240"/>
      <c r="AF68" s="240"/>
      <c r="AG68" s="240"/>
      <c r="AH68" s="240"/>
      <c r="AI68" s="240"/>
      <c r="AJ68" s="240"/>
      <c r="AK68" s="240"/>
      <c r="AL68" s="240"/>
      <c r="AM68" s="240"/>
      <c r="AN68" s="240"/>
      <c r="AO68" s="240"/>
      <c r="AP68" s="240"/>
      <c r="AQ68" s="240"/>
      <c r="AR68" s="240"/>
      <c r="AS68" s="240"/>
      <c r="AT68" s="240"/>
      <c r="AU68" s="240"/>
      <c r="AV68" s="240"/>
      <c r="AW68" s="240"/>
      <c r="AX68" s="240"/>
      <c r="AY68" s="240"/>
      <c r="AZ68" s="240"/>
      <c r="BA68" s="240"/>
      <c r="BB68" s="240"/>
      <c r="BC68" s="240"/>
      <c r="BD68" s="240"/>
      <c r="BE68" s="240"/>
      <c r="BF68" s="240"/>
      <c r="BG68" s="240"/>
      <c r="BH68" s="240"/>
    </row>
    <row r="69" spans="2:60">
      <c r="B69" s="72">
        <f t="shared" si="61"/>
        <v>1</v>
      </c>
      <c r="C69" s="72">
        <f t="shared" si="57"/>
        <v>4</v>
      </c>
      <c r="D69" s="72" t="str">
        <f t="shared" si="62"/>
        <v>ID Power</v>
      </c>
      <c r="E69" s="73">
        <v>2014</v>
      </c>
      <c r="F69" s="389">
        <v>1695.38</v>
      </c>
      <c r="G69" s="75">
        <f t="shared" si="58"/>
        <v>0.41055934928396054</v>
      </c>
      <c r="H69" s="72"/>
      <c r="I69" s="72"/>
      <c r="J69" s="389">
        <v>32514.545700000002</v>
      </c>
      <c r="K69" s="75">
        <f>J69/$J$251</f>
        <v>2.7011730695880264E-2</v>
      </c>
      <c r="L69" s="72"/>
      <c r="M69" s="389">
        <v>6097434</v>
      </c>
      <c r="N69" s="389">
        <v>257485.54271276909</v>
      </c>
      <c r="O69" s="74">
        <f t="shared" si="66"/>
        <v>224970.9970127691</v>
      </c>
      <c r="P69" s="75">
        <f t="shared" si="67"/>
        <v>0.87372282980458171</v>
      </c>
      <c r="Q69" s="75">
        <f t="shared" si="68"/>
        <v>0.12627717019541829</v>
      </c>
      <c r="R69" s="125">
        <f t="shared" si="69"/>
        <v>0</v>
      </c>
      <c r="S69" s="125">
        <f t="shared" si="70"/>
        <v>0.12627717019541829</v>
      </c>
      <c r="T69" s="125">
        <f t="shared" si="71"/>
        <v>-0.12627717019541829</v>
      </c>
      <c r="U69" s="240"/>
      <c r="V69" s="240"/>
      <c r="W69" s="240"/>
      <c r="X69" s="240"/>
      <c r="Y69" s="240"/>
      <c r="Z69" s="240"/>
      <c r="AA69" s="240"/>
      <c r="AB69" s="240"/>
      <c r="AC69" s="240"/>
      <c r="AD69" s="240"/>
      <c r="AE69" s="240"/>
      <c r="AF69" s="240"/>
      <c r="AG69" s="240"/>
      <c r="AH69" s="240"/>
      <c r="AI69" s="240"/>
      <c r="AJ69" s="240"/>
      <c r="AK69" s="240"/>
      <c r="AL69" s="240"/>
      <c r="AM69" s="240"/>
      <c r="AN69" s="240"/>
      <c r="AO69" s="240"/>
      <c r="AP69" s="240"/>
      <c r="AQ69" s="240"/>
      <c r="AR69" s="240"/>
      <c r="AS69" s="240"/>
      <c r="AT69" s="240"/>
      <c r="AU69" s="240"/>
      <c r="AV69" s="240"/>
      <c r="AW69" s="240"/>
      <c r="AX69" s="240"/>
      <c r="AY69" s="240"/>
      <c r="AZ69" s="240"/>
      <c r="BA69" s="240"/>
      <c r="BB69" s="240"/>
      <c r="BC69" s="240"/>
      <c r="BD69" s="240"/>
      <c r="BE69" s="240"/>
      <c r="BF69" s="240"/>
      <c r="BG69" s="240"/>
      <c r="BH69" s="240"/>
    </row>
    <row r="70" spans="2:60">
      <c r="B70" s="69">
        <f>'OPG hydro peers'!B9</f>
        <v>1</v>
      </c>
      <c r="C70" s="69">
        <f t="shared" si="57"/>
        <v>5</v>
      </c>
      <c r="D70" s="69" t="str">
        <f>'OPG hydro peers'!D9</f>
        <v>AB Power</v>
      </c>
      <c r="E70" s="70">
        <v>2002</v>
      </c>
      <c r="F70" s="388">
        <v>1582.8</v>
      </c>
      <c r="G70" s="76">
        <f t="shared" ref="G70:G82" si="72">M70/(F70*8760)</f>
        <v>0.29489457443776301</v>
      </c>
      <c r="H70" s="71"/>
      <c r="I70" s="71"/>
      <c r="J70" s="388">
        <v>20800.446360000002</v>
      </c>
      <c r="K70" s="76">
        <f>J70/$J$239</f>
        <v>2.9223737992126866E-2</v>
      </c>
      <c r="L70" s="76"/>
      <c r="M70" s="388">
        <v>4088810</v>
      </c>
      <c r="N70" s="388">
        <v>117928.58339124071</v>
      </c>
      <c r="O70" s="71">
        <f t="shared" ref="O70:O80" si="73">N70-J70</f>
        <v>97128.137031240709</v>
      </c>
      <c r="P70" s="76">
        <f>O70/N70</f>
        <v>0.82361828013322014</v>
      </c>
      <c r="Q70" s="76">
        <f>1-P70</f>
        <v>0.17638171986677986</v>
      </c>
      <c r="R70" s="126">
        <f t="shared" ref="R70:R80" si="74">Q70*L70</f>
        <v>0</v>
      </c>
      <c r="S70" s="126">
        <f>Q70-R70</f>
        <v>0.17638171986677986</v>
      </c>
      <c r="T70" s="126">
        <f>R70-S70</f>
        <v>-0.17638171986677986</v>
      </c>
      <c r="U70" s="240"/>
      <c r="V70" s="240"/>
      <c r="W70" s="240"/>
      <c r="X70" s="240"/>
      <c r="Y70" s="240"/>
      <c r="Z70" s="240"/>
      <c r="AA70" s="240"/>
      <c r="AB70" s="240"/>
      <c r="AC70" s="240"/>
      <c r="AD70" s="240"/>
      <c r="AE70" s="240"/>
      <c r="AF70" s="240"/>
      <c r="AG70" s="240"/>
      <c r="AH70" s="240"/>
      <c r="AI70" s="240"/>
      <c r="AJ70" s="240"/>
      <c r="AK70" s="240"/>
      <c r="AL70" s="240"/>
      <c r="AM70" s="240"/>
      <c r="AN70" s="240"/>
      <c r="AO70" s="240"/>
      <c r="AP70" s="240"/>
      <c r="AQ70" s="240"/>
      <c r="AR70" s="240"/>
      <c r="AS70" s="240"/>
      <c r="AT70" s="240"/>
      <c r="AU70" s="240"/>
      <c r="AV70" s="240"/>
      <c r="AW70" s="240"/>
      <c r="AX70" s="240"/>
      <c r="AY70" s="240"/>
      <c r="AZ70" s="240"/>
      <c r="BA70" s="240"/>
      <c r="BB70" s="240"/>
      <c r="BC70" s="240"/>
      <c r="BD70" s="240"/>
      <c r="BE70" s="240"/>
      <c r="BF70" s="240"/>
      <c r="BG70" s="240"/>
      <c r="BH70" s="240"/>
    </row>
    <row r="71" spans="2:60">
      <c r="B71" s="69">
        <f t="shared" ref="B71:B82" si="75">B70</f>
        <v>1</v>
      </c>
      <c r="C71" s="69">
        <f t="shared" si="57"/>
        <v>5</v>
      </c>
      <c r="D71" s="69" t="str">
        <f t="shared" ref="D71:D82" si="76">D70</f>
        <v>AB Power</v>
      </c>
      <c r="E71" s="70">
        <v>2003</v>
      </c>
      <c r="F71" s="388">
        <v>1582.8</v>
      </c>
      <c r="G71" s="76">
        <f t="shared" si="72"/>
        <v>0.4155499242426865</v>
      </c>
      <c r="H71" s="71"/>
      <c r="I71" s="71"/>
      <c r="J71" s="388">
        <v>22378.131689999998</v>
      </c>
      <c r="K71" s="76">
        <f>J71/$J$240</f>
        <v>2.8084815967448534E-2</v>
      </c>
      <c r="L71" s="76"/>
      <c r="M71" s="388">
        <v>5761736</v>
      </c>
      <c r="N71" s="388">
        <v>219629.73858335527</v>
      </c>
      <c r="O71" s="71">
        <f t="shared" si="73"/>
        <v>197251.60689335526</v>
      </c>
      <c r="P71" s="76">
        <f t="shared" ref="P71:P80" si="77">O71/N71</f>
        <v>0.89810973762322754</v>
      </c>
      <c r="Q71" s="76">
        <f t="shared" ref="Q71:Q80" si="78">1-P71</f>
        <v>0.10189026237677246</v>
      </c>
      <c r="R71" s="126">
        <f t="shared" si="74"/>
        <v>0</v>
      </c>
      <c r="S71" s="126">
        <f t="shared" ref="S71:T80" si="79">Q71-R71</f>
        <v>0.10189026237677246</v>
      </c>
      <c r="T71" s="126">
        <f t="shared" si="79"/>
        <v>-0.10189026237677246</v>
      </c>
      <c r="U71" s="240"/>
      <c r="V71" s="240"/>
      <c r="W71" s="240"/>
      <c r="X71" s="240"/>
      <c r="Y71" s="240"/>
      <c r="Z71" s="240"/>
      <c r="AA71" s="240"/>
      <c r="AB71" s="240"/>
      <c r="AC71" s="240"/>
      <c r="AD71" s="240"/>
      <c r="AE71" s="240"/>
      <c r="AF71" s="240"/>
      <c r="AG71" s="240"/>
      <c r="AH71" s="240"/>
      <c r="AI71" s="240"/>
      <c r="AJ71" s="240"/>
      <c r="AK71" s="240"/>
      <c r="AL71" s="240"/>
      <c r="AM71" s="240"/>
      <c r="AN71" s="240"/>
      <c r="AO71" s="240"/>
      <c r="AP71" s="240"/>
      <c r="AQ71" s="240"/>
      <c r="AR71" s="240"/>
      <c r="AS71" s="240"/>
      <c r="AT71" s="240"/>
      <c r="AU71" s="240"/>
      <c r="AV71" s="240"/>
      <c r="AW71" s="240"/>
      <c r="AX71" s="240"/>
      <c r="AY71" s="240"/>
      <c r="AZ71" s="240"/>
      <c r="BA71" s="240"/>
      <c r="BB71" s="240"/>
      <c r="BC71" s="240"/>
      <c r="BD71" s="240"/>
      <c r="BE71" s="240"/>
      <c r="BF71" s="240"/>
      <c r="BG71" s="240"/>
      <c r="BH71" s="240"/>
    </row>
    <row r="72" spans="2:60">
      <c r="B72" s="69">
        <f t="shared" si="75"/>
        <v>1</v>
      </c>
      <c r="C72" s="69">
        <f t="shared" si="57"/>
        <v>5</v>
      </c>
      <c r="D72" s="69" t="str">
        <f t="shared" si="76"/>
        <v>AB Power</v>
      </c>
      <c r="E72" s="70">
        <v>2004</v>
      </c>
      <c r="F72" s="388">
        <v>1582.8</v>
      </c>
      <c r="G72" s="76">
        <f t="shared" si="72"/>
        <v>0.31760164635124388</v>
      </c>
      <c r="H72" s="71"/>
      <c r="I72" s="71"/>
      <c r="J72" s="388">
        <v>23266.614809999999</v>
      </c>
      <c r="K72" s="76">
        <f>J72/$J$241</f>
        <v>2.832831694697379E-2</v>
      </c>
      <c r="L72" s="76"/>
      <c r="M72" s="388">
        <v>4403651</v>
      </c>
      <c r="N72" s="388">
        <v>201992.15543234564</v>
      </c>
      <c r="O72" s="71">
        <f t="shared" si="73"/>
        <v>178725.54062234564</v>
      </c>
      <c r="P72" s="76">
        <f t="shared" si="77"/>
        <v>0.88481426538471286</v>
      </c>
      <c r="Q72" s="76">
        <f t="shared" si="78"/>
        <v>0.11518573461528714</v>
      </c>
      <c r="R72" s="126">
        <f t="shared" si="74"/>
        <v>0</v>
      </c>
      <c r="S72" s="126">
        <f t="shared" si="79"/>
        <v>0.11518573461528714</v>
      </c>
      <c r="T72" s="126">
        <f t="shared" si="79"/>
        <v>-0.11518573461528714</v>
      </c>
      <c r="U72" s="240"/>
      <c r="V72" s="240"/>
      <c r="W72" s="240"/>
      <c r="X72" s="240"/>
      <c r="Y72" s="240"/>
      <c r="Z72" s="240"/>
      <c r="AA72" s="240"/>
      <c r="AB72" s="240"/>
      <c r="AC72" s="240"/>
      <c r="AD72" s="240"/>
      <c r="AE72" s="240"/>
      <c r="AF72" s="240"/>
      <c r="AG72" s="240"/>
      <c r="AH72" s="240"/>
      <c r="AI72" s="240"/>
      <c r="AJ72" s="240"/>
      <c r="AK72" s="240"/>
      <c r="AL72" s="240"/>
      <c r="AM72" s="240"/>
      <c r="AN72" s="240"/>
      <c r="AO72" s="240"/>
      <c r="AP72" s="240"/>
      <c r="AQ72" s="240"/>
      <c r="AR72" s="240"/>
      <c r="AS72" s="240"/>
      <c r="AT72" s="240"/>
      <c r="AU72" s="240"/>
      <c r="AV72" s="240"/>
      <c r="AW72" s="240"/>
      <c r="AX72" s="240"/>
      <c r="AY72" s="240"/>
      <c r="AZ72" s="240"/>
      <c r="BA72" s="240"/>
      <c r="BB72" s="240"/>
      <c r="BC72" s="240"/>
      <c r="BD72" s="240"/>
      <c r="BE72" s="240"/>
      <c r="BF72" s="240"/>
      <c r="BG72" s="240"/>
      <c r="BH72" s="240"/>
    </row>
    <row r="73" spans="2:60">
      <c r="B73" s="69">
        <f t="shared" si="75"/>
        <v>1</v>
      </c>
      <c r="C73" s="69">
        <f t="shared" si="57"/>
        <v>5</v>
      </c>
      <c r="D73" s="69" t="str">
        <f t="shared" si="76"/>
        <v>AB Power</v>
      </c>
      <c r="E73" s="70">
        <v>2005</v>
      </c>
      <c r="F73" s="388">
        <v>1582.8</v>
      </c>
      <c r="G73" s="76">
        <f t="shared" si="72"/>
        <v>0.31999221367139674</v>
      </c>
      <c r="H73" s="71"/>
      <c r="I73" s="71"/>
      <c r="J73" s="388">
        <v>24858.392250000001</v>
      </c>
      <c r="K73" s="76">
        <f>J73/$J$242</f>
        <v>2.8660283694610478E-2</v>
      </c>
      <c r="L73" s="76"/>
      <c r="M73" s="388">
        <v>4436797</v>
      </c>
      <c r="N73" s="388">
        <v>278700.42382010224</v>
      </c>
      <c r="O73" s="71">
        <f t="shared" si="73"/>
        <v>253842.03157010223</v>
      </c>
      <c r="P73" s="76">
        <f t="shared" si="77"/>
        <v>0.91080604790882636</v>
      </c>
      <c r="Q73" s="76">
        <f t="shared" si="78"/>
        <v>8.9193952091173645E-2</v>
      </c>
      <c r="R73" s="126">
        <f t="shared" si="74"/>
        <v>0</v>
      </c>
      <c r="S73" s="126">
        <f t="shared" si="79"/>
        <v>8.9193952091173645E-2</v>
      </c>
      <c r="T73" s="126">
        <f t="shared" si="79"/>
        <v>-8.9193952091173645E-2</v>
      </c>
      <c r="U73" s="240"/>
      <c r="V73" s="240"/>
      <c r="W73" s="240"/>
      <c r="X73" s="240"/>
      <c r="Y73" s="240"/>
      <c r="Z73" s="240"/>
      <c r="AA73" s="240"/>
      <c r="AB73" s="240"/>
      <c r="AC73" s="240"/>
      <c r="AD73" s="240"/>
      <c r="AE73" s="240"/>
      <c r="AF73" s="240"/>
      <c r="AG73" s="240"/>
      <c r="AH73" s="240"/>
      <c r="AI73" s="240"/>
      <c r="AJ73" s="240"/>
      <c r="AK73" s="240"/>
      <c r="AL73" s="240"/>
      <c r="AM73" s="240"/>
      <c r="AN73" s="240"/>
      <c r="AO73" s="240"/>
      <c r="AP73" s="240"/>
      <c r="AQ73" s="240"/>
      <c r="AR73" s="240"/>
      <c r="AS73" s="240"/>
      <c r="AT73" s="240"/>
      <c r="AU73" s="240"/>
      <c r="AV73" s="240"/>
      <c r="AW73" s="240"/>
      <c r="AX73" s="240"/>
      <c r="AY73" s="240"/>
      <c r="AZ73" s="240"/>
      <c r="BA73" s="240"/>
      <c r="BB73" s="240"/>
      <c r="BC73" s="240"/>
      <c r="BD73" s="240"/>
      <c r="BE73" s="240"/>
      <c r="BF73" s="240"/>
      <c r="BG73" s="240"/>
      <c r="BH73" s="240"/>
    </row>
    <row r="74" spans="2:60">
      <c r="B74" s="69">
        <f t="shared" si="75"/>
        <v>1</v>
      </c>
      <c r="C74" s="69">
        <f t="shared" si="57"/>
        <v>5</v>
      </c>
      <c r="D74" s="69" t="str">
        <f t="shared" si="76"/>
        <v>AB Power</v>
      </c>
      <c r="E74" s="70">
        <v>2006</v>
      </c>
      <c r="F74" s="388">
        <v>1582.8</v>
      </c>
      <c r="G74" s="76">
        <f t="shared" si="72"/>
        <v>0.22267168868994661</v>
      </c>
      <c r="H74" s="71"/>
      <c r="I74" s="71"/>
      <c r="J74" s="388">
        <v>27947.79924</v>
      </c>
      <c r="K74" s="76">
        <f>J74/$J$243</f>
        <v>3.0598214121868823E-2</v>
      </c>
      <c r="L74" s="76"/>
      <c r="M74" s="388">
        <v>3087416</v>
      </c>
      <c r="N74" s="388">
        <v>155475.15254447065</v>
      </c>
      <c r="O74" s="71">
        <f t="shared" si="73"/>
        <v>127527.35330447066</v>
      </c>
      <c r="P74" s="76">
        <f t="shared" si="77"/>
        <v>0.82024266397162038</v>
      </c>
      <c r="Q74" s="76">
        <f t="shared" si="78"/>
        <v>0.17975733602837962</v>
      </c>
      <c r="R74" s="126">
        <f t="shared" si="74"/>
        <v>0</v>
      </c>
      <c r="S74" s="126">
        <f t="shared" si="79"/>
        <v>0.17975733602837962</v>
      </c>
      <c r="T74" s="126">
        <f t="shared" si="79"/>
        <v>-0.17975733602837962</v>
      </c>
      <c r="U74" s="240"/>
      <c r="V74" s="240"/>
      <c r="W74" s="240"/>
      <c r="X74" s="240"/>
      <c r="Y74" s="240"/>
      <c r="Z74" s="240"/>
      <c r="AA74" s="240"/>
      <c r="AB74" s="240"/>
      <c r="AC74" s="240"/>
      <c r="AD74" s="240"/>
      <c r="AE74" s="240"/>
      <c r="AF74" s="240"/>
      <c r="AG74" s="240"/>
      <c r="AH74" s="240"/>
      <c r="AI74" s="240"/>
      <c r="AJ74" s="240"/>
      <c r="AK74" s="240"/>
      <c r="AL74" s="240"/>
      <c r="AM74" s="240"/>
      <c r="AN74" s="240"/>
      <c r="AO74" s="240"/>
      <c r="AP74" s="240"/>
      <c r="AQ74" s="240"/>
      <c r="AR74" s="240"/>
      <c r="AS74" s="240"/>
      <c r="AT74" s="240"/>
      <c r="AU74" s="240"/>
      <c r="AV74" s="240"/>
      <c r="AW74" s="240"/>
      <c r="AX74" s="240"/>
      <c r="AY74" s="240"/>
      <c r="AZ74" s="240"/>
      <c r="BA74" s="240"/>
      <c r="BB74" s="240"/>
      <c r="BC74" s="240"/>
      <c r="BD74" s="240"/>
      <c r="BE74" s="240"/>
      <c r="BF74" s="240"/>
      <c r="BG74" s="240"/>
      <c r="BH74" s="240"/>
    </row>
    <row r="75" spans="2:60">
      <c r="B75" s="69">
        <f t="shared" si="75"/>
        <v>1</v>
      </c>
      <c r="C75" s="69">
        <f t="shared" si="57"/>
        <v>5</v>
      </c>
      <c r="D75" s="69" t="str">
        <f t="shared" si="76"/>
        <v>AB Power</v>
      </c>
      <c r="E75" s="70">
        <v>2007</v>
      </c>
      <c r="F75" s="388">
        <v>1582.8</v>
      </c>
      <c r="G75" s="76">
        <f t="shared" si="72"/>
        <v>0.10122501249159054</v>
      </c>
      <c r="H75" s="71"/>
      <c r="I75" s="71"/>
      <c r="J75" s="388">
        <v>32887.316879999998</v>
      </c>
      <c r="K75" s="76">
        <f>J75/$J$244</f>
        <v>3.3061345038493693E-2</v>
      </c>
      <c r="L75" s="76"/>
      <c r="M75" s="388">
        <v>1403518</v>
      </c>
      <c r="N75" s="388">
        <v>78281.678603340639</v>
      </c>
      <c r="O75" s="71">
        <f t="shared" si="73"/>
        <v>45394.36172334064</v>
      </c>
      <c r="P75" s="76">
        <f t="shared" si="77"/>
        <v>0.57988487898116503</v>
      </c>
      <c r="Q75" s="76">
        <f t="shared" si="78"/>
        <v>0.42011512101883497</v>
      </c>
      <c r="R75" s="126">
        <f t="shared" si="74"/>
        <v>0</v>
      </c>
      <c r="S75" s="126">
        <f t="shared" si="79"/>
        <v>0.42011512101883497</v>
      </c>
      <c r="T75" s="126">
        <f t="shared" si="79"/>
        <v>-0.42011512101883497</v>
      </c>
      <c r="U75" s="240"/>
      <c r="V75" s="240"/>
      <c r="W75" s="240"/>
      <c r="X75" s="240"/>
      <c r="Y75" s="240"/>
      <c r="Z75" s="240"/>
      <c r="AA75" s="240"/>
      <c r="AB75" s="240"/>
      <c r="AC75" s="240"/>
      <c r="AD75" s="240"/>
      <c r="AE75" s="240"/>
      <c r="AF75" s="240"/>
      <c r="AG75" s="240"/>
      <c r="AH75" s="240"/>
      <c r="AI75" s="240"/>
      <c r="AJ75" s="240"/>
      <c r="AK75" s="240"/>
      <c r="AL75" s="240"/>
      <c r="AM75" s="240"/>
      <c r="AN75" s="240"/>
      <c r="AO75" s="240"/>
      <c r="AP75" s="240"/>
      <c r="AQ75" s="240"/>
      <c r="AR75" s="240"/>
      <c r="AS75" s="240"/>
      <c r="AT75" s="240"/>
      <c r="AU75" s="240"/>
      <c r="AV75" s="240"/>
      <c r="AW75" s="240"/>
      <c r="AX75" s="240"/>
      <c r="AY75" s="240"/>
      <c r="AZ75" s="240"/>
      <c r="BA75" s="240"/>
      <c r="BB75" s="240"/>
      <c r="BC75" s="240"/>
      <c r="BD75" s="240"/>
      <c r="BE75" s="240"/>
      <c r="BF75" s="240"/>
      <c r="BG75" s="240"/>
      <c r="BH75" s="240"/>
    </row>
    <row r="76" spans="2:60">
      <c r="B76" s="69">
        <f t="shared" si="75"/>
        <v>1</v>
      </c>
      <c r="C76" s="69">
        <f t="shared" si="57"/>
        <v>5</v>
      </c>
      <c r="D76" s="69" t="str">
        <f t="shared" si="76"/>
        <v>AB Power</v>
      </c>
      <c r="E76" s="70">
        <v>2008</v>
      </c>
      <c r="F76" s="388">
        <v>1582.8</v>
      </c>
      <c r="G76" s="76">
        <f t="shared" si="72"/>
        <v>0.16591378148428945</v>
      </c>
      <c r="H76" s="71"/>
      <c r="I76" s="71"/>
      <c r="J76" s="388">
        <v>32893.56897</v>
      </c>
      <c r="K76" s="76">
        <f>J76/$J$245</f>
        <v>3.0358540543183637E-2</v>
      </c>
      <c r="L76" s="76"/>
      <c r="M76" s="388">
        <v>2300449</v>
      </c>
      <c r="N76" s="388">
        <v>161078.02352333433</v>
      </c>
      <c r="O76" s="71">
        <f t="shared" si="73"/>
        <v>128184.45455333433</v>
      </c>
      <c r="P76" s="76">
        <f t="shared" si="77"/>
        <v>0.7957910815485334</v>
      </c>
      <c r="Q76" s="76">
        <f t="shared" si="78"/>
        <v>0.2042089184514666</v>
      </c>
      <c r="R76" s="126">
        <f t="shared" si="74"/>
        <v>0</v>
      </c>
      <c r="S76" s="126">
        <f t="shared" si="79"/>
        <v>0.2042089184514666</v>
      </c>
      <c r="T76" s="126">
        <f t="shared" si="79"/>
        <v>-0.2042089184514666</v>
      </c>
      <c r="U76" s="240"/>
      <c r="V76" s="240"/>
      <c r="W76" s="240"/>
      <c r="X76" s="240"/>
      <c r="Y76" s="240"/>
      <c r="Z76" s="240"/>
      <c r="AA76" s="240"/>
      <c r="AB76" s="240"/>
      <c r="AC76" s="240"/>
      <c r="AD76" s="240"/>
      <c r="AE76" s="240"/>
      <c r="AF76" s="240"/>
      <c r="AG76" s="240"/>
      <c r="AH76" s="240"/>
      <c r="AI76" s="240"/>
      <c r="AJ76" s="240"/>
      <c r="AK76" s="240"/>
      <c r="AL76" s="240"/>
      <c r="AM76" s="240"/>
      <c r="AN76" s="240"/>
      <c r="AO76" s="240"/>
      <c r="AP76" s="240"/>
      <c r="AQ76" s="240"/>
      <c r="AR76" s="240"/>
      <c r="AS76" s="240"/>
      <c r="AT76" s="240"/>
      <c r="AU76" s="240"/>
      <c r="AV76" s="240"/>
      <c r="AW76" s="240"/>
      <c r="AX76" s="240"/>
      <c r="AY76" s="240"/>
      <c r="AZ76" s="240"/>
      <c r="BA76" s="240"/>
      <c r="BB76" s="240"/>
      <c r="BC76" s="240"/>
      <c r="BD76" s="240"/>
      <c r="BE76" s="240"/>
      <c r="BF76" s="240"/>
      <c r="BG76" s="240"/>
      <c r="BH76" s="240"/>
    </row>
    <row r="77" spans="2:60">
      <c r="B77" s="69">
        <f t="shared" si="75"/>
        <v>1</v>
      </c>
      <c r="C77" s="69">
        <f t="shared" si="57"/>
        <v>5</v>
      </c>
      <c r="D77" s="69" t="str">
        <f t="shared" si="76"/>
        <v>AB Power</v>
      </c>
      <c r="E77" s="70">
        <v>2009</v>
      </c>
      <c r="F77" s="388">
        <v>1582.8</v>
      </c>
      <c r="G77" s="76">
        <f t="shared" si="72"/>
        <v>0.42595140915526847</v>
      </c>
      <c r="H77" s="71"/>
      <c r="I77" s="71"/>
      <c r="J77" s="388">
        <v>28456.252950000002</v>
      </c>
      <c r="K77" s="76">
        <f>J77/$J$246</f>
        <v>2.6511202389259341E-2</v>
      </c>
      <c r="L77" s="76"/>
      <c r="M77" s="388">
        <v>5905956</v>
      </c>
      <c r="N77" s="388">
        <v>230502.46324916117</v>
      </c>
      <c r="O77" s="71">
        <f t="shared" si="73"/>
        <v>202046.21029916118</v>
      </c>
      <c r="P77" s="76">
        <f t="shared" si="77"/>
        <v>0.87654685963489998</v>
      </c>
      <c r="Q77" s="76">
        <f t="shared" si="78"/>
        <v>0.12345314036510002</v>
      </c>
      <c r="R77" s="126">
        <f t="shared" si="74"/>
        <v>0</v>
      </c>
      <c r="S77" s="126">
        <f t="shared" si="79"/>
        <v>0.12345314036510002</v>
      </c>
      <c r="T77" s="126">
        <f t="shared" si="79"/>
        <v>-0.12345314036510002</v>
      </c>
      <c r="U77" s="240"/>
      <c r="V77" s="240"/>
      <c r="W77" s="240"/>
      <c r="X77" s="240"/>
      <c r="Y77" s="240"/>
      <c r="Z77" s="240"/>
      <c r="AA77" s="240"/>
      <c r="AB77" s="240"/>
      <c r="AC77" s="240"/>
      <c r="AD77" s="240"/>
      <c r="AE77" s="240"/>
      <c r="AF77" s="240"/>
      <c r="AG77" s="240"/>
      <c r="AH77" s="240"/>
      <c r="AI77" s="240"/>
      <c r="AJ77" s="240"/>
      <c r="AK77" s="240"/>
      <c r="AL77" s="240"/>
      <c r="AM77" s="240"/>
      <c r="AN77" s="240"/>
      <c r="AO77" s="240"/>
      <c r="AP77" s="240"/>
      <c r="AQ77" s="240"/>
      <c r="AR77" s="240"/>
      <c r="AS77" s="240"/>
      <c r="AT77" s="240"/>
      <c r="AU77" s="240"/>
      <c r="AV77" s="240"/>
      <c r="AW77" s="240"/>
      <c r="AX77" s="240"/>
      <c r="AY77" s="240"/>
      <c r="AZ77" s="240"/>
      <c r="BA77" s="240"/>
      <c r="BB77" s="240"/>
      <c r="BC77" s="240"/>
      <c r="BD77" s="240"/>
      <c r="BE77" s="240"/>
      <c r="BF77" s="240"/>
      <c r="BG77" s="240"/>
      <c r="BH77" s="240"/>
    </row>
    <row r="78" spans="2:60">
      <c r="B78" s="69">
        <f t="shared" si="75"/>
        <v>1</v>
      </c>
      <c r="C78" s="69">
        <f t="shared" si="57"/>
        <v>5</v>
      </c>
      <c r="D78" s="69" t="str">
        <f t="shared" si="76"/>
        <v>AB Power</v>
      </c>
      <c r="E78" s="70">
        <v>2010</v>
      </c>
      <c r="F78" s="388">
        <v>1582.8</v>
      </c>
      <c r="G78" s="76">
        <f t="shared" si="72"/>
        <v>0.2673798989825556</v>
      </c>
      <c r="H78" s="71"/>
      <c r="I78" s="71"/>
      <c r="J78" s="388">
        <v>38606.343330000003</v>
      </c>
      <c r="K78" s="76">
        <f>J78/$J$247</f>
        <v>3.3489980760663604E-2</v>
      </c>
      <c r="L78" s="76"/>
      <c r="M78" s="388">
        <v>3707310</v>
      </c>
      <c r="N78" s="388">
        <v>172147.16955677405</v>
      </c>
      <c r="O78" s="71">
        <f t="shared" si="73"/>
        <v>133540.82622677405</v>
      </c>
      <c r="P78" s="76">
        <f t="shared" si="77"/>
        <v>0.77573640374454345</v>
      </c>
      <c r="Q78" s="76">
        <f t="shared" si="78"/>
        <v>0.22426359625545655</v>
      </c>
      <c r="R78" s="126">
        <f t="shared" si="74"/>
        <v>0</v>
      </c>
      <c r="S78" s="126">
        <f t="shared" si="79"/>
        <v>0.22426359625545655</v>
      </c>
      <c r="T78" s="126">
        <f t="shared" si="79"/>
        <v>-0.22426359625545655</v>
      </c>
      <c r="U78" s="240"/>
      <c r="V78" s="240"/>
      <c r="W78" s="240"/>
      <c r="X78" s="240"/>
      <c r="Y78" s="240"/>
      <c r="Z78" s="240"/>
      <c r="AA78" s="240"/>
      <c r="AB78" s="240"/>
      <c r="AC78" s="240"/>
      <c r="AD78" s="240"/>
      <c r="AE78" s="240"/>
      <c r="AF78" s="240"/>
      <c r="AG78" s="240"/>
      <c r="AH78" s="240"/>
      <c r="AI78" s="240"/>
      <c r="AJ78" s="240"/>
      <c r="AK78" s="240"/>
      <c r="AL78" s="240"/>
      <c r="AM78" s="240"/>
      <c r="AN78" s="240"/>
      <c r="AO78" s="240"/>
      <c r="AP78" s="240"/>
      <c r="AQ78" s="240"/>
      <c r="AR78" s="240"/>
      <c r="AS78" s="240"/>
      <c r="AT78" s="240"/>
      <c r="AU78" s="240"/>
      <c r="AV78" s="240"/>
      <c r="AW78" s="240"/>
      <c r="AX78" s="240"/>
      <c r="AY78" s="240"/>
      <c r="AZ78" s="240"/>
      <c r="BA78" s="240"/>
      <c r="BB78" s="240"/>
      <c r="BC78" s="240"/>
      <c r="BD78" s="240"/>
      <c r="BE78" s="240"/>
      <c r="BF78" s="240"/>
      <c r="BG78" s="240"/>
      <c r="BH78" s="240"/>
    </row>
    <row r="79" spans="2:60">
      <c r="B79" s="69">
        <f t="shared" si="75"/>
        <v>1</v>
      </c>
      <c r="C79" s="69">
        <f t="shared" si="57"/>
        <v>5</v>
      </c>
      <c r="D79" s="69" t="str">
        <f t="shared" si="76"/>
        <v>AB Power</v>
      </c>
      <c r="E79" s="70">
        <v>2011</v>
      </c>
      <c r="F79" s="388">
        <v>1582.8</v>
      </c>
      <c r="G79" s="76">
        <f t="shared" si="72"/>
        <v>0.23108447200095086</v>
      </c>
      <c r="H79" s="71"/>
      <c r="I79" s="71"/>
      <c r="J79" s="388">
        <v>35773.668090000006</v>
      </c>
      <c r="K79" s="76">
        <f>J79/$J$248</f>
        <v>3.1095218321059648E-2</v>
      </c>
      <c r="L79" s="76"/>
      <c r="M79" s="388">
        <v>3204062</v>
      </c>
      <c r="N79" s="388">
        <v>124119.07833807915</v>
      </c>
      <c r="O79" s="71">
        <f t="shared" si="73"/>
        <v>88345.410248079148</v>
      </c>
      <c r="P79" s="76">
        <f t="shared" si="77"/>
        <v>0.71177945752579108</v>
      </c>
      <c r="Q79" s="76">
        <f t="shared" si="78"/>
        <v>0.28822054247420892</v>
      </c>
      <c r="R79" s="126">
        <f t="shared" si="74"/>
        <v>0</v>
      </c>
      <c r="S79" s="126">
        <f t="shared" si="79"/>
        <v>0.28822054247420892</v>
      </c>
      <c r="T79" s="126">
        <f t="shared" si="79"/>
        <v>-0.28822054247420892</v>
      </c>
      <c r="U79" s="240"/>
      <c r="V79" s="240"/>
      <c r="W79" s="240"/>
      <c r="X79" s="240"/>
      <c r="Y79" s="240"/>
      <c r="Z79" s="240"/>
      <c r="AA79" s="240"/>
      <c r="AB79" s="240"/>
      <c r="AC79" s="240"/>
      <c r="AD79" s="240"/>
      <c r="AE79" s="240"/>
      <c r="AF79" s="240"/>
      <c r="AG79" s="240"/>
      <c r="AH79" s="240"/>
      <c r="AI79" s="240"/>
      <c r="AJ79" s="240"/>
      <c r="AK79" s="240"/>
      <c r="AL79" s="240"/>
      <c r="AM79" s="240"/>
      <c r="AN79" s="240"/>
      <c r="AO79" s="240"/>
      <c r="AP79" s="240"/>
      <c r="AQ79" s="240"/>
      <c r="AR79" s="240"/>
      <c r="AS79" s="240"/>
      <c r="AT79" s="240"/>
      <c r="AU79" s="240"/>
      <c r="AV79" s="240"/>
      <c r="AW79" s="240"/>
      <c r="AX79" s="240"/>
      <c r="AY79" s="240"/>
      <c r="AZ79" s="240"/>
      <c r="BA79" s="240"/>
      <c r="BB79" s="240"/>
      <c r="BC79" s="240"/>
      <c r="BD79" s="240"/>
      <c r="BE79" s="240"/>
      <c r="BF79" s="240"/>
      <c r="BG79" s="240"/>
      <c r="BH79" s="240"/>
    </row>
    <row r="80" spans="2:60">
      <c r="B80" s="69">
        <f t="shared" si="75"/>
        <v>1</v>
      </c>
      <c r="C80" s="69">
        <f t="shared" si="57"/>
        <v>5</v>
      </c>
      <c r="D80" s="69" t="str">
        <f t="shared" si="76"/>
        <v>AB Power</v>
      </c>
      <c r="E80" s="70">
        <v>2012</v>
      </c>
      <c r="F80" s="388">
        <v>1582.8</v>
      </c>
      <c r="G80" s="76">
        <f t="shared" si="72"/>
        <v>0.19235094907239123</v>
      </c>
      <c r="H80" s="71"/>
      <c r="I80" s="71"/>
      <c r="J80" s="388">
        <v>37408.536119999997</v>
      </c>
      <c r="K80" s="76">
        <f>J80/$J$249</f>
        <v>3.1520069315545074E-2</v>
      </c>
      <c r="L80" s="76"/>
      <c r="M80" s="388">
        <v>2667009</v>
      </c>
      <c r="N80" s="388">
        <v>85756.188306960656</v>
      </c>
      <c r="O80" s="71">
        <f t="shared" si="73"/>
        <v>48347.652186960659</v>
      </c>
      <c r="P80" s="76">
        <f t="shared" si="77"/>
        <v>0.56378033050982024</v>
      </c>
      <c r="Q80" s="76">
        <f t="shared" si="78"/>
        <v>0.43621966949017976</v>
      </c>
      <c r="R80" s="126">
        <f t="shared" si="74"/>
        <v>0</v>
      </c>
      <c r="S80" s="126">
        <f t="shared" si="79"/>
        <v>0.43621966949017976</v>
      </c>
      <c r="T80" s="126">
        <f t="shared" si="79"/>
        <v>-0.43621966949017976</v>
      </c>
      <c r="U80" s="240"/>
      <c r="V80" s="240"/>
      <c r="W80" s="240"/>
      <c r="X80" s="240"/>
      <c r="Y80" s="240"/>
      <c r="Z80" s="240"/>
      <c r="AA80" s="240"/>
      <c r="AB80" s="240"/>
      <c r="AC80" s="240"/>
      <c r="AD80" s="240"/>
      <c r="AE80" s="240"/>
      <c r="AF80" s="240"/>
      <c r="AG80" s="240"/>
      <c r="AH80" s="240"/>
      <c r="AI80" s="240"/>
      <c r="AJ80" s="240"/>
      <c r="AK80" s="240"/>
      <c r="AL80" s="240"/>
      <c r="AM80" s="240"/>
      <c r="AN80" s="240"/>
      <c r="AO80" s="240"/>
      <c r="AP80" s="240"/>
      <c r="AQ80" s="240"/>
      <c r="AR80" s="240"/>
      <c r="AS80" s="240"/>
      <c r="AT80" s="240"/>
      <c r="AU80" s="240"/>
      <c r="AV80" s="240"/>
      <c r="AW80" s="240"/>
      <c r="AX80" s="240"/>
      <c r="AY80" s="240"/>
      <c r="AZ80" s="240"/>
      <c r="BA80" s="240"/>
      <c r="BB80" s="240"/>
      <c r="BC80" s="240"/>
      <c r="BD80" s="240"/>
      <c r="BE80" s="240"/>
      <c r="BF80" s="240"/>
      <c r="BG80" s="240"/>
      <c r="BH80" s="240"/>
    </row>
    <row r="81" spans="2:60">
      <c r="B81" s="69">
        <f t="shared" si="75"/>
        <v>1</v>
      </c>
      <c r="C81" s="69">
        <f t="shared" si="57"/>
        <v>5</v>
      </c>
      <c r="D81" s="69" t="str">
        <f t="shared" si="76"/>
        <v>AB Power</v>
      </c>
      <c r="E81" s="70">
        <v>2013</v>
      </c>
      <c r="F81" s="388">
        <v>1668.08</v>
      </c>
      <c r="G81" s="76">
        <f t="shared" si="72"/>
        <v>0.38493542407545256</v>
      </c>
      <c r="H81" s="69"/>
      <c r="I81" s="69"/>
      <c r="J81" s="388">
        <v>36349.305629999995</v>
      </c>
      <c r="K81" s="76">
        <f>J81/$J$250</f>
        <v>3.0978712279790224E-2</v>
      </c>
      <c r="L81" s="69"/>
      <c r="M81" s="388">
        <v>5624823</v>
      </c>
      <c r="N81" s="388">
        <v>212131.39959508958</v>
      </c>
      <c r="O81" s="71">
        <f t="shared" ref="O81:O82" si="80">N81-J81</f>
        <v>175782.09396508959</v>
      </c>
      <c r="P81" s="76">
        <f t="shared" ref="P81:P82" si="81">O81/N81</f>
        <v>0.82864721724656265</v>
      </c>
      <c r="Q81" s="76">
        <f t="shared" ref="Q81:Q82" si="82">1-P81</f>
        <v>0.17135278275343735</v>
      </c>
      <c r="R81" s="126">
        <f t="shared" ref="R81:R82" si="83">Q81*L81</f>
        <v>0</v>
      </c>
      <c r="S81" s="126">
        <f t="shared" ref="S81:S82" si="84">Q81-R81</f>
        <v>0.17135278275343735</v>
      </c>
      <c r="T81" s="126">
        <f t="shared" ref="T81:T82" si="85">R81-S81</f>
        <v>-0.17135278275343735</v>
      </c>
      <c r="U81" s="240"/>
      <c r="V81" s="240"/>
      <c r="W81" s="240"/>
      <c r="X81" s="240"/>
      <c r="Y81" s="240"/>
      <c r="Z81" s="240"/>
      <c r="AA81" s="240"/>
      <c r="AB81" s="240"/>
      <c r="AC81" s="240"/>
      <c r="AD81" s="240"/>
      <c r="AE81" s="240"/>
      <c r="AF81" s="240"/>
      <c r="AG81" s="240"/>
      <c r="AH81" s="240"/>
      <c r="AI81" s="240"/>
      <c r="AJ81" s="240"/>
      <c r="AK81" s="240"/>
      <c r="AL81" s="240"/>
      <c r="AM81" s="240"/>
      <c r="AN81" s="240"/>
      <c r="AO81" s="240"/>
      <c r="AP81" s="240"/>
      <c r="AQ81" s="240"/>
      <c r="AR81" s="240"/>
      <c r="AS81" s="240"/>
      <c r="AT81" s="240"/>
      <c r="AU81" s="240"/>
      <c r="AV81" s="240"/>
      <c r="AW81" s="240"/>
      <c r="AX81" s="240"/>
      <c r="AY81" s="240"/>
      <c r="AZ81" s="240"/>
      <c r="BA81" s="240"/>
      <c r="BB81" s="240"/>
      <c r="BC81" s="240"/>
      <c r="BD81" s="240"/>
      <c r="BE81" s="240"/>
      <c r="BF81" s="240"/>
      <c r="BG81" s="240"/>
      <c r="BH81" s="240"/>
    </row>
    <row r="82" spans="2:60">
      <c r="B82" s="69">
        <f t="shared" si="75"/>
        <v>1</v>
      </c>
      <c r="C82" s="69">
        <f t="shared" si="57"/>
        <v>5</v>
      </c>
      <c r="D82" s="69" t="str">
        <f t="shared" si="76"/>
        <v>AB Power</v>
      </c>
      <c r="E82" s="70">
        <v>2014</v>
      </c>
      <c r="F82" s="388">
        <v>1668.08</v>
      </c>
      <c r="G82" s="76">
        <f t="shared" si="72"/>
        <v>0.26641223311125317</v>
      </c>
      <c r="H82" s="69"/>
      <c r="I82" s="69"/>
      <c r="J82" s="388">
        <v>46029.29739</v>
      </c>
      <c r="K82" s="76">
        <f>J82/$J$251</f>
        <v>3.8239223659805407E-2</v>
      </c>
      <c r="L82" s="69"/>
      <c r="M82" s="388">
        <v>3892917</v>
      </c>
      <c r="N82" s="388">
        <v>217297.25080730164</v>
      </c>
      <c r="O82" s="71">
        <f t="shared" si="80"/>
        <v>171267.95341730164</v>
      </c>
      <c r="P82" s="76">
        <f t="shared" si="81"/>
        <v>0.78817358609465982</v>
      </c>
      <c r="Q82" s="76">
        <f t="shared" si="82"/>
        <v>0.21182641390534018</v>
      </c>
      <c r="R82" s="126">
        <f t="shared" si="83"/>
        <v>0</v>
      </c>
      <c r="S82" s="126">
        <f t="shared" si="84"/>
        <v>0.21182641390534018</v>
      </c>
      <c r="T82" s="126">
        <f t="shared" si="85"/>
        <v>-0.21182641390534018</v>
      </c>
      <c r="U82" s="240"/>
      <c r="V82" s="240"/>
      <c r="W82" s="240"/>
      <c r="X82" s="240"/>
      <c r="Y82" s="240"/>
      <c r="Z82" s="240"/>
      <c r="AA82" s="240"/>
      <c r="AB82" s="240"/>
      <c r="AC82" s="240"/>
      <c r="AD82" s="240"/>
      <c r="AE82" s="240"/>
      <c r="AF82" s="240"/>
      <c r="AG82" s="240"/>
      <c r="AH82" s="240"/>
      <c r="AI82" s="240"/>
      <c r="AJ82" s="240"/>
      <c r="AK82" s="240"/>
      <c r="AL82" s="240"/>
      <c r="AM82" s="240"/>
      <c r="AN82" s="240"/>
      <c r="AO82" s="240"/>
      <c r="AP82" s="240"/>
      <c r="AQ82" s="240"/>
      <c r="AR82" s="240"/>
      <c r="AS82" s="240"/>
      <c r="AT82" s="240"/>
      <c r="AU82" s="240"/>
      <c r="AV82" s="240"/>
      <c r="AW82" s="240"/>
      <c r="AX82" s="240"/>
      <c r="AY82" s="240"/>
      <c r="AZ82" s="240"/>
      <c r="BA82" s="240"/>
      <c r="BB82" s="240"/>
      <c r="BC82" s="240"/>
      <c r="BD82" s="240"/>
      <c r="BE82" s="240"/>
      <c r="BF82" s="240"/>
      <c r="BG82" s="240"/>
      <c r="BH82" s="240"/>
    </row>
    <row r="83" spans="2:60">
      <c r="B83" s="72">
        <f>'OPG hydro peers'!B10</f>
        <v>1</v>
      </c>
      <c r="C83" s="72">
        <f t="shared" si="57"/>
        <v>6</v>
      </c>
      <c r="D83" s="72" t="str">
        <f>'OPG hydro peers'!D10</f>
        <v>SoCal Edison</v>
      </c>
      <c r="E83" s="73">
        <v>2002</v>
      </c>
      <c r="F83" s="390">
        <v>1092.8</v>
      </c>
      <c r="G83" s="75">
        <f t="shared" ref="G83:G95" si="86">M83/(F83*8760)</f>
        <v>0.34618558773240538</v>
      </c>
      <c r="H83" s="127"/>
      <c r="I83" s="127"/>
      <c r="J83" s="389">
        <v>23805.640169999999</v>
      </c>
      <c r="K83" s="75">
        <f>J83/$J$239</f>
        <v>3.3445906834036344E-2</v>
      </c>
      <c r="L83" s="75"/>
      <c r="M83" s="390">
        <v>3314009.7059999998</v>
      </c>
      <c r="N83" s="389">
        <v>111057.38200340806</v>
      </c>
      <c r="O83" s="127">
        <f t="shared" ref="O83:O93" si="87">N83-J83</f>
        <v>87251.741833408058</v>
      </c>
      <c r="P83" s="75">
        <f>O83/N83</f>
        <v>0.78564558482686486</v>
      </c>
      <c r="Q83" s="75">
        <f>1-P83</f>
        <v>0.21435441517313514</v>
      </c>
      <c r="R83" s="125">
        <f t="shared" ref="R83:R93" si="88">Q83*L83</f>
        <v>0</v>
      </c>
      <c r="S83" s="125">
        <f>Q83-R83</f>
        <v>0.21435441517313514</v>
      </c>
      <c r="T83" s="125">
        <f>R83-S83</f>
        <v>-0.21435441517313514</v>
      </c>
      <c r="U83" s="240"/>
      <c r="V83" s="240"/>
      <c r="W83" s="240"/>
      <c r="X83" s="240"/>
      <c r="Y83" s="240"/>
      <c r="Z83" s="240"/>
      <c r="AA83" s="240"/>
      <c r="AB83" s="240"/>
      <c r="AC83" s="240"/>
      <c r="AD83" s="240"/>
      <c r="AE83" s="240"/>
      <c r="AF83" s="240"/>
      <c r="AG83" s="240"/>
      <c r="AH83" s="240"/>
      <c r="AI83" s="240"/>
      <c r="AJ83" s="240"/>
      <c r="AK83" s="240"/>
      <c r="AL83" s="240"/>
      <c r="AM83" s="240"/>
      <c r="AN83" s="240"/>
      <c r="AO83" s="240"/>
      <c r="AP83" s="240"/>
      <c r="AQ83" s="240"/>
      <c r="AR83" s="240"/>
      <c r="AS83" s="240"/>
      <c r="AT83" s="240"/>
      <c r="AU83" s="240"/>
      <c r="AV83" s="240"/>
      <c r="AW83" s="240"/>
      <c r="AX83" s="240"/>
      <c r="AY83" s="240"/>
      <c r="AZ83" s="240"/>
      <c r="BA83" s="240"/>
      <c r="BB83" s="240"/>
      <c r="BC83" s="240"/>
      <c r="BD83" s="240"/>
      <c r="BE83" s="240"/>
      <c r="BF83" s="240"/>
      <c r="BG83" s="240"/>
      <c r="BH83" s="240"/>
    </row>
    <row r="84" spans="2:60">
      <c r="B84" s="72">
        <f t="shared" ref="B84:B95" si="89">B83</f>
        <v>1</v>
      </c>
      <c r="C84" s="72">
        <f t="shared" si="57"/>
        <v>6</v>
      </c>
      <c r="D84" s="72" t="str">
        <f t="shared" ref="D84:D95" si="90">D83</f>
        <v>SoCal Edison</v>
      </c>
      <c r="E84" s="73">
        <v>2003</v>
      </c>
      <c r="F84" s="390">
        <v>1093</v>
      </c>
      <c r="G84" s="75">
        <f t="shared" si="86"/>
        <v>0.39717846403221829</v>
      </c>
      <c r="H84" s="127"/>
      <c r="I84" s="127"/>
      <c r="J84" s="389">
        <v>23797.734960000002</v>
      </c>
      <c r="K84" s="75">
        <f>J84/$J$240</f>
        <v>2.9866434609122468E-2</v>
      </c>
      <c r="L84" s="75"/>
      <c r="M84" s="390">
        <v>3802856.696</v>
      </c>
      <c r="N84" s="389">
        <v>152812.78043079571</v>
      </c>
      <c r="O84" s="127">
        <f t="shared" si="87"/>
        <v>129015.04547079571</v>
      </c>
      <c r="P84" s="75">
        <f t="shared" ref="P84:P93" si="91">O84/N84</f>
        <v>0.84426868686695167</v>
      </c>
      <c r="Q84" s="75">
        <f t="shared" ref="Q84:Q93" si="92">1-P84</f>
        <v>0.15573131313304833</v>
      </c>
      <c r="R84" s="125">
        <f t="shared" si="88"/>
        <v>0</v>
      </c>
      <c r="S84" s="125">
        <f t="shared" ref="S84:T93" si="93">Q84-R84</f>
        <v>0.15573131313304833</v>
      </c>
      <c r="T84" s="125">
        <f t="shared" si="93"/>
        <v>-0.15573131313304833</v>
      </c>
      <c r="U84" s="240"/>
      <c r="V84" s="240"/>
      <c r="W84" s="240"/>
      <c r="X84" s="240"/>
      <c r="Y84" s="240"/>
      <c r="Z84" s="240"/>
      <c r="AA84" s="240"/>
      <c r="AB84" s="240"/>
      <c r="AC84" s="240"/>
      <c r="AD84" s="240"/>
      <c r="AE84" s="240"/>
      <c r="AF84" s="240"/>
      <c r="AG84" s="240"/>
      <c r="AH84" s="240"/>
      <c r="AI84" s="240"/>
      <c r="AJ84" s="240"/>
      <c r="AK84" s="240"/>
      <c r="AL84" s="240"/>
      <c r="AM84" s="240"/>
      <c r="AN84" s="240"/>
      <c r="AO84" s="240"/>
      <c r="AP84" s="240"/>
      <c r="AQ84" s="240"/>
      <c r="AR84" s="240"/>
      <c r="AS84" s="240"/>
      <c r="AT84" s="240"/>
      <c r="AU84" s="240"/>
      <c r="AV84" s="240"/>
      <c r="AW84" s="240"/>
      <c r="AX84" s="240"/>
      <c r="AY84" s="240"/>
      <c r="AZ84" s="240"/>
      <c r="BA84" s="240"/>
      <c r="BB84" s="240"/>
      <c r="BC84" s="240"/>
      <c r="BD84" s="240"/>
      <c r="BE84" s="240"/>
      <c r="BF84" s="240"/>
      <c r="BG84" s="240"/>
      <c r="BH84" s="240"/>
    </row>
    <row r="85" spans="2:60">
      <c r="B85" s="72">
        <f t="shared" si="89"/>
        <v>1</v>
      </c>
      <c r="C85" s="72">
        <f t="shared" si="57"/>
        <v>6</v>
      </c>
      <c r="D85" s="72" t="str">
        <f t="shared" si="90"/>
        <v>SoCal Edison</v>
      </c>
      <c r="E85" s="73">
        <v>2004</v>
      </c>
      <c r="F85" s="390">
        <v>1093</v>
      </c>
      <c r="G85" s="75">
        <f t="shared" si="86"/>
        <v>0.34961188196367921</v>
      </c>
      <c r="H85" s="127"/>
      <c r="I85" s="127"/>
      <c r="J85" s="389">
        <v>25166.048460000002</v>
      </c>
      <c r="K85" s="75">
        <f>J85/$J$241</f>
        <v>3.0640976476361825E-2</v>
      </c>
      <c r="L85" s="75"/>
      <c r="M85" s="390">
        <v>3347421.8939999999</v>
      </c>
      <c r="N85" s="389">
        <v>149508.48658498164</v>
      </c>
      <c r="O85" s="127">
        <f t="shared" si="87"/>
        <v>124342.43812498164</v>
      </c>
      <c r="P85" s="75">
        <f t="shared" si="91"/>
        <v>0.83167478291812247</v>
      </c>
      <c r="Q85" s="75">
        <f t="shared" si="92"/>
        <v>0.16832521708187753</v>
      </c>
      <c r="R85" s="125">
        <f t="shared" si="88"/>
        <v>0</v>
      </c>
      <c r="S85" s="125">
        <f t="shared" si="93"/>
        <v>0.16832521708187753</v>
      </c>
      <c r="T85" s="125">
        <f t="shared" si="93"/>
        <v>-0.16832521708187753</v>
      </c>
      <c r="U85" s="240"/>
      <c r="V85" s="240"/>
      <c r="W85" s="240"/>
      <c r="X85" s="240"/>
      <c r="Y85" s="240"/>
      <c r="Z85" s="240"/>
      <c r="AA85" s="240"/>
      <c r="AB85" s="240"/>
      <c r="AC85" s="240"/>
      <c r="AD85" s="240"/>
      <c r="AE85" s="240"/>
      <c r="AF85" s="240"/>
      <c r="AG85" s="240"/>
      <c r="AH85" s="240"/>
      <c r="AI85" s="240"/>
      <c r="AJ85" s="240"/>
      <c r="AK85" s="240"/>
      <c r="AL85" s="240"/>
      <c r="AM85" s="240"/>
      <c r="AN85" s="240"/>
      <c r="AO85" s="240"/>
      <c r="AP85" s="240"/>
      <c r="AQ85" s="240"/>
      <c r="AR85" s="240"/>
      <c r="AS85" s="240"/>
      <c r="AT85" s="240"/>
      <c r="AU85" s="240"/>
      <c r="AV85" s="240"/>
      <c r="AW85" s="240"/>
      <c r="AX85" s="240"/>
      <c r="AY85" s="240"/>
      <c r="AZ85" s="240"/>
      <c r="BA85" s="240"/>
      <c r="BB85" s="240"/>
      <c r="BC85" s="240"/>
      <c r="BD85" s="240"/>
      <c r="BE85" s="240"/>
      <c r="BF85" s="240"/>
      <c r="BG85" s="240"/>
      <c r="BH85" s="240"/>
    </row>
    <row r="86" spans="2:60">
      <c r="B86" s="72">
        <f t="shared" si="89"/>
        <v>1</v>
      </c>
      <c r="C86" s="72">
        <f t="shared" si="57"/>
        <v>6</v>
      </c>
      <c r="D86" s="72" t="str">
        <f t="shared" si="90"/>
        <v>SoCal Edison</v>
      </c>
      <c r="E86" s="73">
        <v>2005</v>
      </c>
      <c r="F86" s="390">
        <v>1093</v>
      </c>
      <c r="G86" s="75">
        <f t="shared" si="86"/>
        <v>0.50361140006767846</v>
      </c>
      <c r="H86" s="127"/>
      <c r="I86" s="127"/>
      <c r="J86" s="389">
        <v>24385.87545</v>
      </c>
      <c r="K86" s="75">
        <f>J86/$J$242</f>
        <v>2.8115499245066299E-2</v>
      </c>
      <c r="L86" s="75"/>
      <c r="M86" s="390">
        <v>4821918</v>
      </c>
      <c r="N86" s="389">
        <v>305762.74684917438</v>
      </c>
      <c r="O86" s="127">
        <f t="shared" si="87"/>
        <v>281376.87139917439</v>
      </c>
      <c r="P86" s="75">
        <f t="shared" si="91"/>
        <v>0.92024576014805037</v>
      </c>
      <c r="Q86" s="75">
        <f t="shared" si="92"/>
        <v>7.9754239851949627E-2</v>
      </c>
      <c r="R86" s="125">
        <f t="shared" si="88"/>
        <v>0</v>
      </c>
      <c r="S86" s="125">
        <f t="shared" si="93"/>
        <v>7.9754239851949627E-2</v>
      </c>
      <c r="T86" s="125">
        <f t="shared" si="93"/>
        <v>-7.9754239851949627E-2</v>
      </c>
      <c r="U86" s="240"/>
      <c r="V86" s="240"/>
      <c r="W86" s="240"/>
      <c r="X86" s="240"/>
      <c r="Y86" s="240"/>
      <c r="Z86" s="240"/>
      <c r="AA86" s="240"/>
      <c r="AB86" s="240"/>
      <c r="AC86" s="240"/>
      <c r="AD86" s="240"/>
      <c r="AE86" s="240"/>
      <c r="AF86" s="240"/>
      <c r="AG86" s="240"/>
      <c r="AH86" s="240"/>
      <c r="AI86" s="240"/>
      <c r="AJ86" s="240"/>
      <c r="AK86" s="240"/>
      <c r="AL86" s="240"/>
      <c r="AM86" s="240"/>
      <c r="AN86" s="240"/>
      <c r="AO86" s="240"/>
      <c r="AP86" s="240"/>
      <c r="AQ86" s="240"/>
      <c r="AR86" s="240"/>
      <c r="AS86" s="240"/>
      <c r="AT86" s="240"/>
      <c r="AU86" s="240"/>
      <c r="AV86" s="240"/>
      <c r="AW86" s="240"/>
      <c r="AX86" s="240"/>
      <c r="AY86" s="240"/>
      <c r="AZ86" s="240"/>
      <c r="BA86" s="240"/>
      <c r="BB86" s="240"/>
      <c r="BC86" s="240"/>
      <c r="BD86" s="240"/>
      <c r="BE86" s="240"/>
      <c r="BF86" s="240"/>
      <c r="BG86" s="240"/>
      <c r="BH86" s="240"/>
    </row>
    <row r="87" spans="2:60">
      <c r="B87" s="72">
        <f t="shared" si="89"/>
        <v>1</v>
      </c>
      <c r="C87" s="72">
        <f t="shared" si="57"/>
        <v>6</v>
      </c>
      <c r="D87" s="72" t="str">
        <f t="shared" si="90"/>
        <v>SoCal Edison</v>
      </c>
      <c r="E87" s="73">
        <v>2006</v>
      </c>
      <c r="F87" s="390">
        <v>1093</v>
      </c>
      <c r="G87" s="75">
        <f t="shared" si="86"/>
        <v>0.49851377539510461</v>
      </c>
      <c r="H87" s="127"/>
      <c r="I87" s="127"/>
      <c r="J87" s="389">
        <v>29579.175299999999</v>
      </c>
      <c r="K87" s="75">
        <f>J87/$J$243</f>
        <v>3.2384300874836736E-2</v>
      </c>
      <c r="L87" s="75"/>
      <c r="M87" s="390">
        <v>4773109.875</v>
      </c>
      <c r="N87" s="389">
        <v>269657.49912029743</v>
      </c>
      <c r="O87" s="127">
        <f t="shared" si="87"/>
        <v>240078.32382029743</v>
      </c>
      <c r="P87" s="75">
        <f t="shared" si="91"/>
        <v>0.89030835264550023</v>
      </c>
      <c r="Q87" s="75">
        <f t="shared" si="92"/>
        <v>0.10969164735449977</v>
      </c>
      <c r="R87" s="125">
        <f t="shared" si="88"/>
        <v>0</v>
      </c>
      <c r="S87" s="125">
        <f t="shared" si="93"/>
        <v>0.10969164735449977</v>
      </c>
      <c r="T87" s="125">
        <f t="shared" si="93"/>
        <v>-0.10969164735449977</v>
      </c>
      <c r="U87" s="240"/>
      <c r="V87" s="240"/>
      <c r="W87" s="240"/>
      <c r="X87" s="240"/>
      <c r="Y87" s="240"/>
      <c r="Z87" s="240"/>
      <c r="AA87" s="240"/>
      <c r="AB87" s="240"/>
      <c r="AC87" s="240"/>
      <c r="AD87" s="240"/>
      <c r="AE87" s="240"/>
      <c r="AF87" s="240"/>
      <c r="AG87" s="240"/>
      <c r="AH87" s="240"/>
      <c r="AI87" s="240"/>
      <c r="AJ87" s="240"/>
      <c r="AK87" s="240"/>
      <c r="AL87" s="240"/>
      <c r="AM87" s="240"/>
      <c r="AN87" s="240"/>
      <c r="AO87" s="240"/>
      <c r="AP87" s="240"/>
      <c r="AQ87" s="240"/>
      <c r="AR87" s="240"/>
      <c r="AS87" s="240"/>
      <c r="AT87" s="240"/>
      <c r="AU87" s="240"/>
      <c r="AV87" s="240"/>
      <c r="AW87" s="240"/>
      <c r="AX87" s="240"/>
      <c r="AY87" s="240"/>
      <c r="AZ87" s="240"/>
      <c r="BA87" s="240"/>
      <c r="BB87" s="240"/>
      <c r="BC87" s="240"/>
      <c r="BD87" s="240"/>
      <c r="BE87" s="240"/>
      <c r="BF87" s="240"/>
      <c r="BG87" s="240"/>
      <c r="BH87" s="240"/>
    </row>
    <row r="88" spans="2:60">
      <c r="B88" s="72">
        <f t="shared" si="89"/>
        <v>1</v>
      </c>
      <c r="C88" s="72">
        <f t="shared" si="57"/>
        <v>6</v>
      </c>
      <c r="D88" s="72" t="str">
        <f t="shared" si="90"/>
        <v>SoCal Edison</v>
      </c>
      <c r="E88" s="73">
        <v>2007</v>
      </c>
      <c r="F88" s="390">
        <v>1105</v>
      </c>
      <c r="G88" s="75">
        <f t="shared" si="86"/>
        <v>0.25293126490216744</v>
      </c>
      <c r="H88" s="127"/>
      <c r="I88" s="127"/>
      <c r="J88" s="389">
        <v>35054.246009999995</v>
      </c>
      <c r="K88" s="75">
        <f>J88/$J$244</f>
        <v>3.5239740798242054E-2</v>
      </c>
      <c r="L88" s="75"/>
      <c r="M88" s="390">
        <v>2448324.0580000002</v>
      </c>
      <c r="N88" s="389">
        <v>144854.42840737474</v>
      </c>
      <c r="O88" s="127">
        <f t="shared" si="87"/>
        <v>109800.18239737474</v>
      </c>
      <c r="P88" s="75">
        <f t="shared" si="91"/>
        <v>0.75800362891621931</v>
      </c>
      <c r="Q88" s="75">
        <f t="shared" si="92"/>
        <v>0.24199637108378069</v>
      </c>
      <c r="R88" s="125">
        <f t="shared" si="88"/>
        <v>0</v>
      </c>
      <c r="S88" s="125">
        <f t="shared" si="93"/>
        <v>0.24199637108378069</v>
      </c>
      <c r="T88" s="125">
        <f t="shared" si="93"/>
        <v>-0.24199637108378069</v>
      </c>
      <c r="U88" s="240"/>
      <c r="V88" s="240"/>
      <c r="W88" s="240"/>
      <c r="X88" s="240"/>
      <c r="Y88" s="240"/>
      <c r="Z88" s="240"/>
      <c r="AA88" s="240"/>
      <c r="AB88" s="240"/>
      <c r="AC88" s="240"/>
      <c r="AD88" s="240"/>
      <c r="AE88" s="240"/>
      <c r="AF88" s="240"/>
      <c r="AG88" s="240"/>
      <c r="AH88" s="240"/>
      <c r="AI88" s="240"/>
      <c r="AJ88" s="240"/>
      <c r="AK88" s="240"/>
      <c r="AL88" s="240"/>
      <c r="AM88" s="240"/>
      <c r="AN88" s="240"/>
      <c r="AO88" s="240"/>
      <c r="AP88" s="240"/>
      <c r="AQ88" s="240"/>
      <c r="AR88" s="240"/>
      <c r="AS88" s="240"/>
      <c r="AT88" s="240"/>
      <c r="AU88" s="240"/>
      <c r="AV88" s="240"/>
      <c r="AW88" s="240"/>
      <c r="AX88" s="240"/>
      <c r="AY88" s="240"/>
      <c r="AZ88" s="240"/>
      <c r="BA88" s="240"/>
      <c r="BB88" s="240"/>
      <c r="BC88" s="240"/>
      <c r="BD88" s="240"/>
      <c r="BE88" s="240"/>
      <c r="BF88" s="240"/>
      <c r="BG88" s="240"/>
      <c r="BH88" s="240"/>
    </row>
    <row r="89" spans="2:60">
      <c r="B89" s="72">
        <f t="shared" si="89"/>
        <v>1</v>
      </c>
      <c r="C89" s="72">
        <f t="shared" si="57"/>
        <v>6</v>
      </c>
      <c r="D89" s="72" t="str">
        <f t="shared" si="90"/>
        <v>SoCal Edison</v>
      </c>
      <c r="E89" s="73">
        <v>2008</v>
      </c>
      <c r="F89" s="390">
        <v>1105</v>
      </c>
      <c r="G89" s="75">
        <f t="shared" si="86"/>
        <v>0.25364936207359656</v>
      </c>
      <c r="H89" s="127"/>
      <c r="I89" s="127"/>
      <c r="J89" s="389">
        <v>32886.636689999992</v>
      </c>
      <c r="K89" s="75">
        <f>J89/$J$245</f>
        <v>3.0352142517368046E-2</v>
      </c>
      <c r="L89" s="75"/>
      <c r="M89" s="390">
        <v>2455275.0950000002</v>
      </c>
      <c r="N89" s="389">
        <v>210255.59549800411</v>
      </c>
      <c r="O89" s="127">
        <f t="shared" si="87"/>
        <v>177368.95880800413</v>
      </c>
      <c r="P89" s="75">
        <f t="shared" si="91"/>
        <v>0.84358734133992563</v>
      </c>
      <c r="Q89" s="75">
        <f t="shared" si="92"/>
        <v>0.15641265866007437</v>
      </c>
      <c r="R89" s="125">
        <f t="shared" si="88"/>
        <v>0</v>
      </c>
      <c r="S89" s="125">
        <f t="shared" si="93"/>
        <v>0.15641265866007437</v>
      </c>
      <c r="T89" s="125">
        <f t="shared" si="93"/>
        <v>-0.15641265866007437</v>
      </c>
      <c r="U89" s="240"/>
      <c r="V89" s="240"/>
      <c r="W89" s="240"/>
      <c r="X89" s="240"/>
      <c r="Y89" s="240"/>
      <c r="Z89" s="240"/>
      <c r="AA89" s="240"/>
      <c r="AB89" s="240"/>
      <c r="AC89" s="240"/>
      <c r="AD89" s="240"/>
      <c r="AE89" s="240"/>
      <c r="AF89" s="240"/>
      <c r="AG89" s="240"/>
      <c r="AH89" s="240"/>
      <c r="AI89" s="240"/>
      <c r="AJ89" s="240"/>
      <c r="AK89" s="240"/>
      <c r="AL89" s="240"/>
      <c r="AM89" s="240"/>
      <c r="AN89" s="240"/>
      <c r="AO89" s="240"/>
      <c r="AP89" s="240"/>
      <c r="AQ89" s="240"/>
      <c r="AR89" s="240"/>
      <c r="AS89" s="240"/>
      <c r="AT89" s="240"/>
      <c r="AU89" s="240"/>
      <c r="AV89" s="240"/>
      <c r="AW89" s="240"/>
      <c r="AX89" s="240"/>
      <c r="AY89" s="240"/>
      <c r="AZ89" s="240"/>
      <c r="BA89" s="240"/>
      <c r="BB89" s="240"/>
      <c r="BC89" s="240"/>
      <c r="BD89" s="240"/>
      <c r="BE89" s="240"/>
      <c r="BF89" s="240"/>
      <c r="BG89" s="240"/>
      <c r="BH89" s="240"/>
    </row>
    <row r="90" spans="2:60">
      <c r="B90" s="72">
        <f t="shared" si="89"/>
        <v>1</v>
      </c>
      <c r="C90" s="72">
        <f t="shared" si="57"/>
        <v>6</v>
      </c>
      <c r="D90" s="72" t="str">
        <f t="shared" si="90"/>
        <v>SoCal Edison</v>
      </c>
      <c r="E90" s="73">
        <v>2009</v>
      </c>
      <c r="F90" s="390">
        <v>1105</v>
      </c>
      <c r="G90" s="75">
        <f t="shared" si="86"/>
        <v>0.36861152441166145</v>
      </c>
      <c r="H90" s="127"/>
      <c r="I90" s="127"/>
      <c r="J90" s="389">
        <v>39833.376570000008</v>
      </c>
      <c r="K90" s="75">
        <f>J90/$J$246</f>
        <v>3.7110673353599466E-2</v>
      </c>
      <c r="L90" s="75"/>
      <c r="M90" s="390">
        <v>3568085.8340000003</v>
      </c>
      <c r="N90" s="389">
        <v>130952.20480939627</v>
      </c>
      <c r="O90" s="127">
        <f t="shared" si="87"/>
        <v>91118.828239396258</v>
      </c>
      <c r="P90" s="75">
        <f t="shared" si="91"/>
        <v>0.69581744249378363</v>
      </c>
      <c r="Q90" s="75">
        <f t="shared" si="92"/>
        <v>0.30418255750621637</v>
      </c>
      <c r="R90" s="125">
        <f t="shared" si="88"/>
        <v>0</v>
      </c>
      <c r="S90" s="125">
        <f t="shared" si="93"/>
        <v>0.30418255750621637</v>
      </c>
      <c r="T90" s="125">
        <f t="shared" si="93"/>
        <v>-0.30418255750621637</v>
      </c>
      <c r="U90" s="240"/>
      <c r="V90" s="240"/>
      <c r="W90" s="240"/>
      <c r="X90" s="240"/>
      <c r="Y90" s="240"/>
      <c r="Z90" s="240"/>
      <c r="AA90" s="240"/>
      <c r="AB90" s="240"/>
      <c r="AC90" s="240"/>
      <c r="AD90" s="240"/>
      <c r="AE90" s="240"/>
      <c r="AF90" s="240"/>
      <c r="AG90" s="240"/>
      <c r="AH90" s="240"/>
      <c r="AI90" s="240"/>
      <c r="AJ90" s="240"/>
      <c r="AK90" s="240"/>
      <c r="AL90" s="240"/>
      <c r="AM90" s="240"/>
      <c r="AN90" s="240"/>
      <c r="AO90" s="240"/>
      <c r="AP90" s="240"/>
      <c r="AQ90" s="240"/>
      <c r="AR90" s="240"/>
      <c r="AS90" s="240"/>
      <c r="AT90" s="240"/>
      <c r="AU90" s="240"/>
      <c r="AV90" s="240"/>
      <c r="AW90" s="240"/>
      <c r="AX90" s="240"/>
      <c r="AY90" s="240"/>
      <c r="AZ90" s="240"/>
      <c r="BA90" s="240"/>
      <c r="BB90" s="240"/>
      <c r="BC90" s="240"/>
      <c r="BD90" s="240"/>
      <c r="BE90" s="240"/>
      <c r="BF90" s="240"/>
      <c r="BG90" s="240"/>
      <c r="BH90" s="240"/>
    </row>
    <row r="91" spans="2:60">
      <c r="B91" s="72">
        <f t="shared" si="89"/>
        <v>1</v>
      </c>
      <c r="C91" s="72">
        <f t="shared" si="57"/>
        <v>6</v>
      </c>
      <c r="D91" s="72" t="str">
        <f t="shared" si="90"/>
        <v>SoCal Edison</v>
      </c>
      <c r="E91" s="73">
        <v>2010</v>
      </c>
      <c r="F91" s="390">
        <v>1105</v>
      </c>
      <c r="G91" s="75">
        <f t="shared" si="86"/>
        <v>0.42411203857517715</v>
      </c>
      <c r="H91" s="127"/>
      <c r="I91" s="127"/>
      <c r="J91" s="389">
        <v>44792.563139999998</v>
      </c>
      <c r="K91" s="75">
        <f>J91/$J$247</f>
        <v>3.8856362669647572E-2</v>
      </c>
      <c r="L91" s="75"/>
      <c r="M91" s="390">
        <v>4105319.7109999997</v>
      </c>
      <c r="N91" s="389">
        <v>172448.17313495191</v>
      </c>
      <c r="O91" s="127">
        <f t="shared" si="87"/>
        <v>127655.60999495191</v>
      </c>
      <c r="P91" s="75">
        <f t="shared" si="91"/>
        <v>0.74025492804178972</v>
      </c>
      <c r="Q91" s="75">
        <f t="shared" si="92"/>
        <v>0.25974507195821028</v>
      </c>
      <c r="R91" s="125">
        <f t="shared" si="88"/>
        <v>0</v>
      </c>
      <c r="S91" s="125">
        <f t="shared" si="93"/>
        <v>0.25974507195821028</v>
      </c>
      <c r="T91" s="125">
        <f t="shared" si="93"/>
        <v>-0.25974507195821028</v>
      </c>
      <c r="U91" s="240"/>
      <c r="V91" s="240"/>
      <c r="W91" s="240"/>
      <c r="X91" s="240"/>
      <c r="Y91" s="240"/>
      <c r="Z91" s="240"/>
      <c r="AA91" s="240"/>
      <c r="AB91" s="240"/>
      <c r="AC91" s="240"/>
      <c r="AD91" s="240"/>
      <c r="AE91" s="240"/>
      <c r="AF91" s="240"/>
      <c r="AG91" s="240"/>
      <c r="AH91" s="240"/>
      <c r="AI91" s="240"/>
      <c r="AJ91" s="240"/>
      <c r="AK91" s="240"/>
      <c r="AL91" s="240"/>
      <c r="AM91" s="240"/>
      <c r="AN91" s="240"/>
      <c r="AO91" s="240"/>
      <c r="AP91" s="240"/>
      <c r="AQ91" s="240"/>
      <c r="AR91" s="240"/>
      <c r="AS91" s="240"/>
      <c r="AT91" s="240"/>
      <c r="AU91" s="240"/>
      <c r="AV91" s="240"/>
      <c r="AW91" s="240"/>
      <c r="AX91" s="240"/>
      <c r="AY91" s="240"/>
      <c r="AZ91" s="240"/>
      <c r="BA91" s="240"/>
      <c r="BB91" s="240"/>
      <c r="BC91" s="240"/>
      <c r="BD91" s="240"/>
      <c r="BE91" s="240"/>
      <c r="BF91" s="240"/>
      <c r="BG91" s="240"/>
      <c r="BH91" s="240"/>
    </row>
    <row r="92" spans="2:60">
      <c r="B92" s="72">
        <f t="shared" si="89"/>
        <v>1</v>
      </c>
      <c r="C92" s="72">
        <f t="shared" si="57"/>
        <v>6</v>
      </c>
      <c r="D92" s="72" t="str">
        <f t="shared" si="90"/>
        <v>SoCal Edison</v>
      </c>
      <c r="E92" s="73">
        <v>2011</v>
      </c>
      <c r="F92" s="390">
        <v>1112.2</v>
      </c>
      <c r="G92" s="75">
        <f t="shared" si="86"/>
        <v>0.47249197926443043</v>
      </c>
      <c r="H92" s="127"/>
      <c r="I92" s="127"/>
      <c r="J92" s="389">
        <v>48341.319779999998</v>
      </c>
      <c r="K92" s="75">
        <f>J92/$J$248</f>
        <v>4.2019283253412074E-2</v>
      </c>
      <c r="L92" s="75"/>
      <c r="M92" s="390">
        <v>4603428.875</v>
      </c>
      <c r="N92" s="389">
        <v>174963.1178361575</v>
      </c>
      <c r="O92" s="127">
        <f t="shared" si="87"/>
        <v>126621.79805615751</v>
      </c>
      <c r="P92" s="75">
        <f t="shared" si="91"/>
        <v>0.72370565649573793</v>
      </c>
      <c r="Q92" s="75">
        <f t="shared" si="92"/>
        <v>0.27629434350426207</v>
      </c>
      <c r="R92" s="125">
        <f t="shared" si="88"/>
        <v>0</v>
      </c>
      <c r="S92" s="125">
        <f t="shared" si="93"/>
        <v>0.27629434350426207</v>
      </c>
      <c r="T92" s="125">
        <f t="shared" si="93"/>
        <v>-0.27629434350426207</v>
      </c>
      <c r="U92" s="240"/>
      <c r="V92" s="240"/>
      <c r="W92" s="240"/>
      <c r="X92" s="240"/>
      <c r="Y92" s="240"/>
      <c r="Z92" s="240"/>
      <c r="AA92" s="240"/>
      <c r="AB92" s="240"/>
      <c r="AC92" s="240"/>
      <c r="AD92" s="240"/>
      <c r="AE92" s="240"/>
      <c r="AF92" s="240"/>
      <c r="AG92" s="240"/>
      <c r="AH92" s="240"/>
      <c r="AI92" s="240"/>
      <c r="AJ92" s="240"/>
      <c r="AK92" s="240"/>
      <c r="AL92" s="240"/>
      <c r="AM92" s="240"/>
      <c r="AN92" s="240"/>
      <c r="AO92" s="240"/>
      <c r="AP92" s="240"/>
      <c r="AQ92" s="240"/>
      <c r="AR92" s="240"/>
      <c r="AS92" s="240"/>
      <c r="AT92" s="240"/>
      <c r="AU92" s="240"/>
      <c r="AV92" s="240"/>
      <c r="AW92" s="240"/>
      <c r="AX92" s="240"/>
      <c r="AY92" s="240"/>
      <c r="AZ92" s="240"/>
      <c r="BA92" s="240"/>
      <c r="BB92" s="240"/>
      <c r="BC92" s="240"/>
      <c r="BD92" s="240"/>
      <c r="BE92" s="240"/>
      <c r="BF92" s="240"/>
      <c r="BG92" s="240"/>
      <c r="BH92" s="240"/>
    </row>
    <row r="93" spans="2:60">
      <c r="B93" s="72">
        <f t="shared" si="89"/>
        <v>1</v>
      </c>
      <c r="C93" s="72">
        <f t="shared" ref="C93:C129" si="94">IF(D93=D92,C92,C92+1)</f>
        <v>6</v>
      </c>
      <c r="D93" s="72" t="str">
        <f t="shared" si="90"/>
        <v>SoCal Edison</v>
      </c>
      <c r="E93" s="73">
        <v>2012</v>
      </c>
      <c r="F93" s="390">
        <v>1112.4000000000001</v>
      </c>
      <c r="G93" s="75">
        <f t="shared" si="86"/>
        <v>0.26943407831846561</v>
      </c>
      <c r="H93" s="127"/>
      <c r="I93" s="127"/>
      <c r="J93" s="389">
        <v>40212.992700000003</v>
      </c>
      <c r="K93" s="75">
        <f>J93/$J$249</f>
        <v>3.3883077199908039E-2</v>
      </c>
      <c r="L93" s="75"/>
      <c r="M93" s="390">
        <v>2625533.7859999998</v>
      </c>
      <c r="N93" s="389">
        <v>90374.503148488235</v>
      </c>
      <c r="O93" s="127">
        <f t="shared" si="87"/>
        <v>50161.510448488232</v>
      </c>
      <c r="P93" s="75">
        <f t="shared" si="91"/>
        <v>0.55504051143795774</v>
      </c>
      <c r="Q93" s="75">
        <f t="shared" si="92"/>
        <v>0.44495948856204226</v>
      </c>
      <c r="R93" s="125">
        <f t="shared" si="88"/>
        <v>0</v>
      </c>
      <c r="S93" s="125">
        <f t="shared" si="93"/>
        <v>0.44495948856204226</v>
      </c>
      <c r="T93" s="125">
        <f t="shared" si="93"/>
        <v>-0.44495948856204226</v>
      </c>
      <c r="U93" s="240"/>
      <c r="V93" s="240"/>
      <c r="W93" s="240"/>
      <c r="X93" s="240"/>
      <c r="Y93" s="240"/>
      <c r="Z93" s="240"/>
      <c r="AA93" s="240"/>
      <c r="AB93" s="240"/>
      <c r="AC93" s="240"/>
      <c r="AD93" s="240"/>
      <c r="AE93" s="240"/>
      <c r="AF93" s="240"/>
      <c r="AG93" s="240"/>
      <c r="AH93" s="240"/>
      <c r="AI93" s="240"/>
      <c r="AJ93" s="240"/>
      <c r="AK93" s="240"/>
      <c r="AL93" s="240"/>
      <c r="AM93" s="240"/>
      <c r="AN93" s="240"/>
      <c r="AO93" s="240"/>
      <c r="AP93" s="240"/>
      <c r="AQ93" s="240"/>
      <c r="AR93" s="240"/>
      <c r="AS93" s="240"/>
      <c r="AT93" s="240"/>
      <c r="AU93" s="240"/>
      <c r="AV93" s="240"/>
      <c r="AW93" s="240"/>
      <c r="AX93" s="240"/>
      <c r="AY93" s="240"/>
      <c r="AZ93" s="240"/>
      <c r="BA93" s="240"/>
      <c r="BB93" s="240"/>
      <c r="BC93" s="240"/>
      <c r="BD93" s="240"/>
      <c r="BE93" s="240"/>
      <c r="BF93" s="240"/>
      <c r="BG93" s="240"/>
      <c r="BH93" s="240"/>
    </row>
    <row r="94" spans="2:60">
      <c r="B94" s="72">
        <f t="shared" si="89"/>
        <v>1</v>
      </c>
      <c r="C94" s="72">
        <f t="shared" si="94"/>
        <v>6</v>
      </c>
      <c r="D94" s="72" t="str">
        <f t="shared" si="90"/>
        <v>SoCal Edison</v>
      </c>
      <c r="E94" s="73">
        <v>2013</v>
      </c>
      <c r="F94" s="390">
        <v>1112.4000000000001</v>
      </c>
      <c r="G94" s="75">
        <f t="shared" si="86"/>
        <v>0.23137492539476126</v>
      </c>
      <c r="H94" s="127"/>
      <c r="I94" s="127"/>
      <c r="J94" s="389">
        <v>46789.833449999998</v>
      </c>
      <c r="K94" s="75">
        <f>J94/$J$250</f>
        <v>3.987665686990606E-2</v>
      </c>
      <c r="L94" s="72"/>
      <c r="M94" s="390">
        <v>2254661.6510000001</v>
      </c>
      <c r="N94" s="389">
        <v>112299.99682377835</v>
      </c>
      <c r="O94" s="127">
        <f t="shared" ref="O94:O95" si="95">N94-J94</f>
        <v>65510.163373778349</v>
      </c>
      <c r="P94" s="75">
        <f t="shared" ref="P94:P95" si="96">O94/N94</f>
        <v>0.58334964582926208</v>
      </c>
      <c r="Q94" s="75">
        <f t="shared" ref="Q94:Q95" si="97">1-P94</f>
        <v>0.41665035417073792</v>
      </c>
      <c r="R94" s="125">
        <f t="shared" ref="R94:R95" si="98">Q94*L94</f>
        <v>0</v>
      </c>
      <c r="S94" s="125">
        <f t="shared" ref="S94:S95" si="99">Q94-R94</f>
        <v>0.41665035417073792</v>
      </c>
      <c r="T94" s="125">
        <f t="shared" ref="T94:T95" si="100">R94-S94</f>
        <v>-0.41665035417073792</v>
      </c>
      <c r="U94" s="240"/>
      <c r="V94" s="240"/>
      <c r="W94" s="240"/>
      <c r="X94" s="240"/>
      <c r="Y94" s="240"/>
      <c r="Z94" s="240"/>
      <c r="AA94" s="240"/>
      <c r="AB94" s="240"/>
      <c r="AC94" s="240"/>
      <c r="AD94" s="240"/>
      <c r="AE94" s="240"/>
      <c r="AF94" s="240"/>
      <c r="AG94" s="240"/>
      <c r="AH94" s="240"/>
      <c r="AI94" s="240"/>
      <c r="AJ94" s="240"/>
      <c r="AK94" s="240"/>
      <c r="AL94" s="240"/>
      <c r="AM94" s="240"/>
      <c r="AN94" s="240"/>
      <c r="AO94" s="240"/>
      <c r="AP94" s="240"/>
      <c r="AQ94" s="240"/>
      <c r="AR94" s="240"/>
      <c r="AS94" s="240"/>
      <c r="AT94" s="240"/>
      <c r="AU94" s="240"/>
      <c r="AV94" s="240"/>
      <c r="AW94" s="240"/>
      <c r="AX94" s="240"/>
      <c r="AY94" s="240"/>
      <c r="AZ94" s="240"/>
      <c r="BA94" s="240"/>
      <c r="BB94" s="240"/>
      <c r="BC94" s="240"/>
      <c r="BD94" s="240"/>
      <c r="BE94" s="240"/>
      <c r="BF94" s="240"/>
      <c r="BG94" s="240"/>
      <c r="BH94" s="240"/>
    </row>
    <row r="95" spans="2:60">
      <c r="B95" s="72">
        <f t="shared" si="89"/>
        <v>1</v>
      </c>
      <c r="C95" s="72">
        <f t="shared" si="94"/>
        <v>6</v>
      </c>
      <c r="D95" s="72" t="str">
        <f t="shared" si="90"/>
        <v>SoCal Edison</v>
      </c>
      <c r="E95" s="73">
        <v>2014</v>
      </c>
      <c r="F95" s="390">
        <v>1112.4000000000001</v>
      </c>
      <c r="G95" s="75">
        <f t="shared" si="86"/>
        <v>0.15834696505478302</v>
      </c>
      <c r="H95" s="127"/>
      <c r="I95" s="127"/>
      <c r="J95" s="389">
        <v>34259.181389999998</v>
      </c>
      <c r="K95" s="75">
        <f>J95/$J$251</f>
        <v>2.8461101382326642E-2</v>
      </c>
      <c r="L95" s="72"/>
      <c r="M95" s="390">
        <v>1543031.6359999999</v>
      </c>
      <c r="N95" s="389">
        <v>86708.726111849886</v>
      </c>
      <c r="O95" s="127">
        <f t="shared" si="95"/>
        <v>52449.544721849888</v>
      </c>
      <c r="P95" s="75">
        <f t="shared" si="96"/>
        <v>0.60489349888721256</v>
      </c>
      <c r="Q95" s="75">
        <f t="shared" si="97"/>
        <v>0.39510650111278744</v>
      </c>
      <c r="R95" s="125">
        <f t="shared" si="98"/>
        <v>0</v>
      </c>
      <c r="S95" s="125">
        <f t="shared" si="99"/>
        <v>0.39510650111278744</v>
      </c>
      <c r="T95" s="125">
        <f t="shared" si="100"/>
        <v>-0.39510650111278744</v>
      </c>
      <c r="U95" s="240"/>
      <c r="V95" s="240"/>
      <c r="W95" s="240"/>
      <c r="X95" s="240"/>
      <c r="Y95" s="240"/>
      <c r="Z95" s="240"/>
      <c r="AA95" s="240"/>
      <c r="AB95" s="240"/>
      <c r="AC95" s="240"/>
      <c r="AD95" s="240"/>
      <c r="AE95" s="240"/>
      <c r="AF95" s="240"/>
      <c r="AG95" s="240"/>
      <c r="AH95" s="240"/>
      <c r="AI95" s="240"/>
      <c r="AJ95" s="240"/>
      <c r="AK95" s="240"/>
      <c r="AL95" s="240"/>
      <c r="AM95" s="240"/>
      <c r="AN95" s="240"/>
      <c r="AO95" s="240"/>
      <c r="AP95" s="240"/>
      <c r="AQ95" s="240"/>
      <c r="AR95" s="240"/>
      <c r="AS95" s="240"/>
      <c r="AT95" s="240"/>
      <c r="AU95" s="240"/>
      <c r="AV95" s="240"/>
      <c r="AW95" s="240"/>
      <c r="AX95" s="240"/>
      <c r="AY95" s="240"/>
      <c r="AZ95" s="240"/>
      <c r="BA95" s="240"/>
      <c r="BB95" s="240"/>
      <c r="BC95" s="240"/>
      <c r="BD95" s="240"/>
      <c r="BE95" s="240"/>
      <c r="BF95" s="240"/>
      <c r="BG95" s="240"/>
      <c r="BH95" s="240"/>
    </row>
    <row r="96" spans="2:60">
      <c r="B96" s="69">
        <f>'OPG hydro peers'!B11</f>
        <v>1</v>
      </c>
      <c r="C96" s="69">
        <f t="shared" si="94"/>
        <v>7</v>
      </c>
      <c r="D96" s="69" t="str">
        <f>'OPG hydro peers'!D11</f>
        <v>GA Power</v>
      </c>
      <c r="E96" s="70">
        <v>2002</v>
      </c>
      <c r="F96" s="388">
        <v>1058</v>
      </c>
      <c r="G96" s="76">
        <f t="shared" ref="G96:G108" si="101">M96/(F96*8760)</f>
        <v>0.18570764797023764</v>
      </c>
      <c r="H96" s="71"/>
      <c r="I96" s="71"/>
      <c r="J96" s="388">
        <v>44320.947929999995</v>
      </c>
      <c r="K96" s="76">
        <f>J96/$J$239</f>
        <v>6.2269037281804628E-2</v>
      </c>
      <c r="L96" s="76"/>
      <c r="M96" s="388">
        <v>1721153.338</v>
      </c>
      <c r="N96" s="388">
        <v>29004.408029504597</v>
      </c>
      <c r="O96" s="71">
        <f>N96-J96</f>
        <v>-15316.539900495398</v>
      </c>
      <c r="P96" s="76">
        <f>AVERAGE($P$97:$P$99,$P$103)</f>
        <v>0.34371795311662784</v>
      </c>
      <c r="Q96" s="76">
        <f>1-P96</f>
        <v>0.65628204688337211</v>
      </c>
      <c r="R96" s="126">
        <f t="shared" ref="R96:R106" si="102">Q96*L96</f>
        <v>0</v>
      </c>
      <c r="S96" s="126">
        <f>Q96-R96</f>
        <v>0.65628204688337211</v>
      </c>
      <c r="T96" s="126">
        <f>R96-S96</f>
        <v>-0.65628204688337211</v>
      </c>
      <c r="U96" s="240"/>
      <c r="V96" s="240"/>
      <c r="W96" s="240"/>
      <c r="X96" s="240"/>
      <c r="Y96" s="240"/>
      <c r="Z96" s="240"/>
      <c r="AA96" s="240"/>
      <c r="AB96" s="240"/>
      <c r="AC96" s="240"/>
      <c r="AD96" s="240"/>
      <c r="AE96" s="240"/>
      <c r="AF96" s="240"/>
      <c r="AG96" s="240"/>
      <c r="AH96" s="240"/>
      <c r="AI96" s="240"/>
      <c r="AJ96" s="240"/>
      <c r="AK96" s="240"/>
      <c r="AL96" s="240"/>
      <c r="AM96" s="240"/>
      <c r="AN96" s="240"/>
      <c r="AO96" s="240"/>
      <c r="AP96" s="240"/>
      <c r="AQ96" s="240"/>
      <c r="AR96" s="240"/>
      <c r="AS96" s="240"/>
      <c r="AT96" s="240"/>
      <c r="AU96" s="240"/>
      <c r="AV96" s="240"/>
      <c r="AW96" s="240"/>
      <c r="AX96" s="240"/>
      <c r="AY96" s="240"/>
      <c r="AZ96" s="240"/>
      <c r="BA96" s="240"/>
      <c r="BB96" s="240"/>
      <c r="BC96" s="240"/>
      <c r="BD96" s="240"/>
      <c r="BE96" s="240"/>
      <c r="BF96" s="240"/>
      <c r="BG96" s="240"/>
      <c r="BH96" s="240"/>
    </row>
    <row r="97" spans="2:60">
      <c r="B97" s="69">
        <f t="shared" ref="B97:B108" si="103">B96</f>
        <v>1</v>
      </c>
      <c r="C97" s="69">
        <f t="shared" si="94"/>
        <v>7</v>
      </c>
      <c r="D97" s="69" t="str">
        <f t="shared" ref="D97:D104" si="104">D96</f>
        <v>GA Power</v>
      </c>
      <c r="E97" s="70">
        <v>2003</v>
      </c>
      <c r="F97" s="388">
        <v>1058</v>
      </c>
      <c r="G97" s="76">
        <f t="shared" si="101"/>
        <v>0.30005717667521214</v>
      </c>
      <c r="H97" s="71"/>
      <c r="I97" s="71"/>
      <c r="J97" s="388">
        <v>44236.427249999993</v>
      </c>
      <c r="K97" s="76">
        <f>J97/$J$240</f>
        <v>5.5517231535859073E-2</v>
      </c>
      <c r="L97" s="76"/>
      <c r="M97" s="388">
        <v>2780953.9180000001</v>
      </c>
      <c r="N97" s="388">
        <v>76606.790101084509</v>
      </c>
      <c r="O97" s="71">
        <f t="shared" ref="O97:O106" si="105">N97-J97</f>
        <v>32370.362851084516</v>
      </c>
      <c r="P97" s="76">
        <f>O97/N97</f>
        <v>0.42255213680629405</v>
      </c>
      <c r="Q97" s="76">
        <f t="shared" ref="Q97:Q106" si="106">1-P97</f>
        <v>0.57744786319370589</v>
      </c>
      <c r="R97" s="126">
        <f t="shared" si="102"/>
        <v>0</v>
      </c>
      <c r="S97" s="126">
        <f t="shared" ref="S97:T106" si="107">Q97-R97</f>
        <v>0.57744786319370589</v>
      </c>
      <c r="T97" s="126">
        <f t="shared" si="107"/>
        <v>-0.57744786319370589</v>
      </c>
      <c r="U97" s="240"/>
      <c r="V97" s="240"/>
      <c r="W97" s="240"/>
      <c r="X97" s="240"/>
      <c r="Y97" s="240"/>
      <c r="Z97" s="240"/>
      <c r="AA97" s="240"/>
      <c r="AB97" s="240"/>
      <c r="AC97" s="240"/>
      <c r="AD97" s="240"/>
      <c r="AE97" s="240"/>
      <c r="AF97" s="240"/>
      <c r="AG97" s="240"/>
      <c r="AH97" s="240"/>
      <c r="AI97" s="240"/>
      <c r="AJ97" s="240"/>
      <c r="AK97" s="240"/>
      <c r="AL97" s="240"/>
      <c r="AM97" s="240"/>
      <c r="AN97" s="240"/>
      <c r="AO97" s="240"/>
      <c r="AP97" s="240"/>
      <c r="AQ97" s="240"/>
      <c r="AR97" s="240"/>
      <c r="AS97" s="240"/>
      <c r="AT97" s="240"/>
      <c r="AU97" s="240"/>
      <c r="AV97" s="240"/>
      <c r="AW97" s="240"/>
      <c r="AX97" s="240"/>
      <c r="AY97" s="240"/>
      <c r="AZ97" s="240"/>
      <c r="BA97" s="240"/>
      <c r="BB97" s="240"/>
      <c r="BC97" s="240"/>
      <c r="BD97" s="240"/>
      <c r="BE97" s="240"/>
      <c r="BF97" s="240"/>
      <c r="BG97" s="240"/>
      <c r="BH97" s="240"/>
    </row>
    <row r="98" spans="2:60">
      <c r="B98" s="69">
        <f t="shared" si="103"/>
        <v>1</v>
      </c>
      <c r="C98" s="69">
        <f t="shared" si="94"/>
        <v>7</v>
      </c>
      <c r="D98" s="69" t="str">
        <f t="shared" si="104"/>
        <v>GA Power</v>
      </c>
      <c r="E98" s="70">
        <v>2004</v>
      </c>
      <c r="F98" s="388">
        <v>1058</v>
      </c>
      <c r="G98" s="76">
        <f t="shared" si="101"/>
        <v>0.23902102700883029</v>
      </c>
      <c r="H98" s="71"/>
      <c r="I98" s="71"/>
      <c r="J98" s="388">
        <v>54959.024819999999</v>
      </c>
      <c r="K98" s="76">
        <f>J98/$J$241</f>
        <v>6.6915478977560769E-2</v>
      </c>
      <c r="L98" s="76"/>
      <c r="M98" s="388">
        <v>2215266</v>
      </c>
      <c r="N98" s="388">
        <v>69633.880138679495</v>
      </c>
      <c r="O98" s="71">
        <f t="shared" si="105"/>
        <v>14674.855318679496</v>
      </c>
      <c r="P98" s="76">
        <f t="shared" ref="P98:P103" si="108">O98/N98</f>
        <v>0.21074303614065104</v>
      </c>
      <c r="Q98" s="76">
        <f t="shared" si="106"/>
        <v>0.78925696385934896</v>
      </c>
      <c r="R98" s="126">
        <f t="shared" si="102"/>
        <v>0</v>
      </c>
      <c r="S98" s="126">
        <f t="shared" si="107"/>
        <v>0.78925696385934896</v>
      </c>
      <c r="T98" s="126">
        <f t="shared" si="107"/>
        <v>-0.78925696385934896</v>
      </c>
      <c r="U98" s="240"/>
      <c r="V98" s="240"/>
      <c r="W98" s="240"/>
      <c r="X98" s="240"/>
      <c r="Y98" s="240"/>
      <c r="Z98" s="240"/>
      <c r="AA98" s="240"/>
      <c r="AB98" s="240"/>
      <c r="AC98" s="240"/>
      <c r="AD98" s="240"/>
      <c r="AE98" s="240"/>
      <c r="AF98" s="240"/>
      <c r="AG98" s="240"/>
      <c r="AH98" s="240"/>
      <c r="AI98" s="240"/>
      <c r="AJ98" s="240"/>
      <c r="AK98" s="240"/>
      <c r="AL98" s="240"/>
      <c r="AM98" s="240"/>
      <c r="AN98" s="240"/>
      <c r="AO98" s="240"/>
      <c r="AP98" s="240"/>
      <c r="AQ98" s="240"/>
      <c r="AR98" s="240"/>
      <c r="AS98" s="240"/>
      <c r="AT98" s="240"/>
      <c r="AU98" s="240"/>
      <c r="AV98" s="240"/>
      <c r="AW98" s="240"/>
      <c r="AX98" s="240"/>
      <c r="AY98" s="240"/>
      <c r="AZ98" s="240"/>
      <c r="BA98" s="240"/>
      <c r="BB98" s="240"/>
      <c r="BC98" s="240"/>
      <c r="BD98" s="240"/>
      <c r="BE98" s="240"/>
      <c r="BF98" s="240"/>
      <c r="BG98" s="240"/>
      <c r="BH98" s="240"/>
    </row>
    <row r="99" spans="2:60">
      <c r="B99" s="69">
        <f t="shared" si="103"/>
        <v>1</v>
      </c>
      <c r="C99" s="69">
        <f t="shared" si="94"/>
        <v>7</v>
      </c>
      <c r="D99" s="69" t="str">
        <f t="shared" si="104"/>
        <v>GA Power</v>
      </c>
      <c r="E99" s="70">
        <v>2005</v>
      </c>
      <c r="F99" s="388">
        <v>1071</v>
      </c>
      <c r="G99" s="76">
        <f t="shared" si="101"/>
        <v>0.27218443939219522</v>
      </c>
      <c r="H99" s="71"/>
      <c r="I99" s="71"/>
      <c r="J99" s="388">
        <v>61906.180440000004</v>
      </c>
      <c r="K99" s="76">
        <f>J99/$J$242</f>
        <v>7.1374233539184179E-2</v>
      </c>
      <c r="L99" s="76"/>
      <c r="M99" s="388">
        <v>2553623.523</v>
      </c>
      <c r="N99" s="388">
        <v>126548.53607936308</v>
      </c>
      <c r="O99" s="71">
        <f t="shared" si="105"/>
        <v>64642.355639363079</v>
      </c>
      <c r="P99" s="76">
        <f t="shared" si="108"/>
        <v>0.51081077381111351</v>
      </c>
      <c r="Q99" s="76">
        <f t="shared" si="106"/>
        <v>0.48918922618888649</v>
      </c>
      <c r="R99" s="126">
        <f t="shared" si="102"/>
        <v>0</v>
      </c>
      <c r="S99" s="126">
        <f t="shared" si="107"/>
        <v>0.48918922618888649</v>
      </c>
      <c r="T99" s="126">
        <f t="shared" si="107"/>
        <v>-0.48918922618888649</v>
      </c>
      <c r="U99" s="240"/>
      <c r="V99" s="240"/>
      <c r="W99" s="240"/>
      <c r="X99" s="240"/>
      <c r="Y99" s="240"/>
      <c r="Z99" s="240"/>
      <c r="AA99" s="240"/>
      <c r="AB99" s="240"/>
      <c r="AC99" s="240"/>
      <c r="AD99" s="240"/>
      <c r="AE99" s="240"/>
      <c r="AF99" s="240"/>
      <c r="AG99" s="240"/>
      <c r="AH99" s="240"/>
      <c r="AI99" s="240"/>
      <c r="AJ99" s="240"/>
      <c r="AK99" s="240"/>
      <c r="AL99" s="240"/>
      <c r="AM99" s="240"/>
      <c r="AN99" s="240"/>
      <c r="AO99" s="240"/>
      <c r="AP99" s="240"/>
      <c r="AQ99" s="240"/>
      <c r="AR99" s="240"/>
      <c r="AS99" s="240"/>
      <c r="AT99" s="240"/>
      <c r="AU99" s="240"/>
      <c r="AV99" s="240"/>
      <c r="AW99" s="240"/>
      <c r="AX99" s="240"/>
      <c r="AY99" s="240"/>
      <c r="AZ99" s="240"/>
      <c r="BA99" s="240"/>
      <c r="BB99" s="240"/>
      <c r="BC99" s="240"/>
      <c r="BD99" s="240"/>
      <c r="BE99" s="240"/>
      <c r="BF99" s="240"/>
      <c r="BG99" s="240"/>
      <c r="BH99" s="240"/>
    </row>
    <row r="100" spans="2:60">
      <c r="B100" s="69">
        <f t="shared" si="103"/>
        <v>1</v>
      </c>
      <c r="C100" s="69">
        <f t="shared" si="94"/>
        <v>7</v>
      </c>
      <c r="D100" s="69" t="str">
        <f t="shared" si="104"/>
        <v>GA Power</v>
      </c>
      <c r="E100" s="70">
        <v>2006</v>
      </c>
      <c r="F100" s="388">
        <v>1071</v>
      </c>
      <c r="G100" s="76">
        <f t="shared" si="101"/>
        <v>0.1893381553534656</v>
      </c>
      <c r="H100" s="71"/>
      <c r="I100" s="71"/>
      <c r="J100" s="388">
        <v>62726.312460000001</v>
      </c>
      <c r="K100" s="76">
        <f>J100/$J$243</f>
        <v>6.8674929401214932E-2</v>
      </c>
      <c r="L100" s="76"/>
      <c r="M100" s="388">
        <v>1776363</v>
      </c>
      <c r="N100" s="388">
        <v>61707.936076715436</v>
      </c>
      <c r="O100" s="71">
        <f t="shared" si="105"/>
        <v>-1018.3763832845652</v>
      </c>
      <c r="P100" s="76">
        <f>AVERAGE($P$97:$P$99,$P$103)</f>
        <v>0.34371795311662784</v>
      </c>
      <c r="Q100" s="76">
        <f t="shared" si="106"/>
        <v>0.65628204688337211</v>
      </c>
      <c r="R100" s="126">
        <f t="shared" si="102"/>
        <v>0</v>
      </c>
      <c r="S100" s="126">
        <f t="shared" si="107"/>
        <v>0.65628204688337211</v>
      </c>
      <c r="T100" s="126">
        <f t="shared" si="107"/>
        <v>-0.65628204688337211</v>
      </c>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240"/>
      <c r="AP100" s="240"/>
      <c r="AQ100" s="240"/>
      <c r="AR100" s="240"/>
      <c r="AS100" s="240"/>
      <c r="AT100" s="240"/>
      <c r="AU100" s="240"/>
      <c r="AV100" s="240"/>
      <c r="AW100" s="240"/>
      <c r="AX100" s="240"/>
      <c r="AY100" s="240"/>
      <c r="AZ100" s="240"/>
      <c r="BA100" s="240"/>
      <c r="BB100" s="240"/>
      <c r="BC100" s="240"/>
      <c r="BD100" s="240"/>
      <c r="BE100" s="240"/>
      <c r="BF100" s="240"/>
      <c r="BG100" s="240"/>
      <c r="BH100" s="240"/>
    </row>
    <row r="101" spans="2:60">
      <c r="B101" s="69">
        <f t="shared" si="103"/>
        <v>1</v>
      </c>
      <c r="C101" s="69">
        <f t="shared" si="94"/>
        <v>7</v>
      </c>
      <c r="D101" s="69" t="str">
        <f t="shared" si="104"/>
        <v>GA Power</v>
      </c>
      <c r="E101" s="70">
        <v>2007</v>
      </c>
      <c r="F101" s="388">
        <v>1071</v>
      </c>
      <c r="G101" s="76">
        <f t="shared" si="101"/>
        <v>0.15203838003999165</v>
      </c>
      <c r="H101" s="71"/>
      <c r="I101" s="71"/>
      <c r="J101" s="388">
        <v>62732.58423</v>
      </c>
      <c r="K101" s="76">
        <f>J101/$J$244</f>
        <v>6.3064543086690322E-2</v>
      </c>
      <c r="L101" s="76"/>
      <c r="M101" s="388">
        <v>1426418</v>
      </c>
      <c r="N101" s="388">
        <v>41896.016726848829</v>
      </c>
      <c r="O101" s="71">
        <f t="shared" si="105"/>
        <v>-20836.567503151171</v>
      </c>
      <c r="P101" s="76">
        <f>AVERAGE($P$97:$P$99,$P$103)</f>
        <v>0.34371795311662784</v>
      </c>
      <c r="Q101" s="76">
        <f t="shared" si="106"/>
        <v>0.65628204688337211</v>
      </c>
      <c r="R101" s="126">
        <f t="shared" si="102"/>
        <v>0</v>
      </c>
      <c r="S101" s="126">
        <f t="shared" si="107"/>
        <v>0.65628204688337211</v>
      </c>
      <c r="T101" s="126">
        <f t="shared" si="107"/>
        <v>-0.65628204688337211</v>
      </c>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240"/>
      <c r="AP101" s="240"/>
      <c r="AQ101" s="240"/>
      <c r="AR101" s="240"/>
      <c r="AS101" s="240"/>
      <c r="AT101" s="240"/>
      <c r="AU101" s="240"/>
      <c r="AV101" s="240"/>
      <c r="AW101" s="240"/>
      <c r="AX101" s="240"/>
      <c r="AY101" s="240"/>
      <c r="AZ101" s="240"/>
      <c r="BA101" s="240"/>
      <c r="BB101" s="240"/>
      <c r="BC101" s="240"/>
      <c r="BD101" s="240"/>
      <c r="BE101" s="240"/>
      <c r="BF101" s="240"/>
      <c r="BG101" s="240"/>
      <c r="BH101" s="240"/>
    </row>
    <row r="102" spans="2:60">
      <c r="B102" s="69">
        <f t="shared" si="103"/>
        <v>1</v>
      </c>
      <c r="C102" s="69">
        <f t="shared" si="94"/>
        <v>7</v>
      </c>
      <c r="D102" s="69" t="str">
        <f t="shared" si="104"/>
        <v>GA Power</v>
      </c>
      <c r="E102" s="70">
        <v>2008</v>
      </c>
      <c r="F102" s="388">
        <v>1071</v>
      </c>
      <c r="G102" s="76">
        <f t="shared" si="101"/>
        <v>0.14468874307713953</v>
      </c>
      <c r="H102" s="71"/>
      <c r="I102" s="71"/>
      <c r="J102" s="388">
        <v>79349.767380000005</v>
      </c>
      <c r="K102" s="76">
        <f>J102/$J$245</f>
        <v>7.3234471221257716E-2</v>
      </c>
      <c r="L102" s="76"/>
      <c r="M102" s="388">
        <v>1357464</v>
      </c>
      <c r="N102" s="388">
        <v>52439.488475018865</v>
      </c>
      <c r="O102" s="71">
        <f t="shared" si="105"/>
        <v>-26910.27890498114</v>
      </c>
      <c r="P102" s="76">
        <f>AVERAGE($P$97:$P$99,$P$103)</f>
        <v>0.34371795311662784</v>
      </c>
      <c r="Q102" s="76">
        <f t="shared" si="106"/>
        <v>0.65628204688337211</v>
      </c>
      <c r="R102" s="126">
        <f t="shared" si="102"/>
        <v>0</v>
      </c>
      <c r="S102" s="126">
        <f t="shared" si="107"/>
        <v>0.65628204688337211</v>
      </c>
      <c r="T102" s="126">
        <f t="shared" si="107"/>
        <v>-0.65628204688337211</v>
      </c>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240"/>
      <c r="AP102" s="240"/>
      <c r="AQ102" s="240"/>
      <c r="AR102" s="240"/>
      <c r="AS102" s="240"/>
      <c r="AT102" s="240"/>
      <c r="AU102" s="240"/>
      <c r="AV102" s="240"/>
      <c r="AW102" s="240"/>
      <c r="AX102" s="240"/>
      <c r="AY102" s="240"/>
      <c r="AZ102" s="240"/>
      <c r="BA102" s="240"/>
      <c r="BB102" s="240"/>
      <c r="BC102" s="240"/>
      <c r="BD102" s="240"/>
      <c r="BE102" s="240"/>
      <c r="BF102" s="240"/>
      <c r="BG102" s="240"/>
      <c r="BH102" s="240"/>
    </row>
    <row r="103" spans="2:60">
      <c r="B103" s="69">
        <f t="shared" si="103"/>
        <v>1</v>
      </c>
      <c r="C103" s="69">
        <f t="shared" si="94"/>
        <v>7</v>
      </c>
      <c r="D103" s="69" t="str">
        <f t="shared" si="104"/>
        <v>GA Power</v>
      </c>
      <c r="E103" s="70">
        <v>2009</v>
      </c>
      <c r="F103" s="388">
        <v>1071</v>
      </c>
      <c r="G103" s="76">
        <f t="shared" si="101"/>
        <v>0.26020447752921566</v>
      </c>
      <c r="H103" s="71"/>
      <c r="I103" s="71"/>
      <c r="J103" s="388">
        <v>53906.222309999997</v>
      </c>
      <c r="K103" s="76">
        <f>J103/$J$246</f>
        <v>5.0221607609824713E-2</v>
      </c>
      <c r="L103" s="76"/>
      <c r="M103" s="388">
        <v>2441228</v>
      </c>
      <c r="N103" s="388">
        <v>70077.782442203737</v>
      </c>
      <c r="O103" s="71">
        <f t="shared" si="105"/>
        <v>16171.56013220374</v>
      </c>
      <c r="P103" s="76">
        <f t="shared" si="108"/>
        <v>0.23076586570845253</v>
      </c>
      <c r="Q103" s="76">
        <f t="shared" si="106"/>
        <v>0.76923413429154741</v>
      </c>
      <c r="R103" s="126">
        <f t="shared" si="102"/>
        <v>0</v>
      </c>
      <c r="S103" s="126">
        <f t="shared" si="107"/>
        <v>0.76923413429154741</v>
      </c>
      <c r="T103" s="126">
        <f t="shared" si="107"/>
        <v>-0.76923413429154741</v>
      </c>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240"/>
      <c r="AP103" s="240"/>
      <c r="AQ103" s="240"/>
      <c r="AR103" s="240"/>
      <c r="AS103" s="240"/>
      <c r="AT103" s="240"/>
      <c r="AU103" s="240"/>
      <c r="AV103" s="240"/>
      <c r="AW103" s="240"/>
      <c r="AX103" s="240"/>
      <c r="AY103" s="240"/>
      <c r="AZ103" s="240"/>
      <c r="BA103" s="240"/>
      <c r="BB103" s="240"/>
      <c r="BC103" s="240"/>
      <c r="BD103" s="240"/>
      <c r="BE103" s="240"/>
      <c r="BF103" s="240"/>
      <c r="BG103" s="240"/>
      <c r="BH103" s="240"/>
    </row>
    <row r="104" spans="2:60">
      <c r="B104" s="69">
        <f t="shared" si="103"/>
        <v>1</v>
      </c>
      <c r="C104" s="69">
        <f t="shared" si="94"/>
        <v>7</v>
      </c>
      <c r="D104" s="69" t="str">
        <f t="shared" si="104"/>
        <v>GA Power</v>
      </c>
      <c r="E104" s="70">
        <v>2010</v>
      </c>
      <c r="F104" s="388">
        <v>1071</v>
      </c>
      <c r="G104" s="76">
        <f t="shared" si="101"/>
        <v>0.23540571479733446</v>
      </c>
      <c r="H104" s="71"/>
      <c r="I104" s="71"/>
      <c r="J104" s="388">
        <v>63576.759059999997</v>
      </c>
      <c r="K104" s="76">
        <f>J104/$J$247</f>
        <v>5.5151155330740956E-2</v>
      </c>
      <c r="L104" s="76"/>
      <c r="M104" s="388">
        <v>2208567</v>
      </c>
      <c r="N104" s="388">
        <v>70813.915521903386</v>
      </c>
      <c r="O104" s="71">
        <f t="shared" si="105"/>
        <v>7237.1564619033888</v>
      </c>
      <c r="P104" s="76">
        <f>AVERAGE($P$97:$P$99,$P$103)</f>
        <v>0.34371795311662784</v>
      </c>
      <c r="Q104" s="76">
        <f t="shared" si="106"/>
        <v>0.65628204688337211</v>
      </c>
      <c r="R104" s="126">
        <f t="shared" si="102"/>
        <v>0</v>
      </c>
      <c r="S104" s="126">
        <f t="shared" si="107"/>
        <v>0.65628204688337211</v>
      </c>
      <c r="T104" s="126">
        <f t="shared" si="107"/>
        <v>-0.65628204688337211</v>
      </c>
      <c r="U104" s="240"/>
      <c r="V104" s="240"/>
      <c r="W104" s="240"/>
      <c r="X104" s="240"/>
      <c r="Y104" s="240"/>
      <c r="Z104" s="240"/>
      <c r="AA104" s="240"/>
      <c r="AB104" s="240"/>
      <c r="AC104" s="240"/>
      <c r="AD104" s="240"/>
      <c r="AE104" s="240"/>
      <c r="AF104" s="240"/>
      <c r="AG104" s="240"/>
      <c r="AH104" s="240"/>
      <c r="AI104" s="240"/>
      <c r="AJ104" s="240"/>
      <c r="AK104" s="240"/>
      <c r="AL104" s="240"/>
      <c r="AM104" s="240"/>
      <c r="AN104" s="240"/>
      <c r="AO104" s="240"/>
      <c r="AP104" s="240"/>
      <c r="AQ104" s="240"/>
      <c r="AR104" s="240"/>
      <c r="AS104" s="240"/>
      <c r="AT104" s="240"/>
      <c r="AU104" s="240"/>
      <c r="AV104" s="240"/>
      <c r="AW104" s="240"/>
      <c r="AX104" s="240"/>
      <c r="AY104" s="240"/>
      <c r="AZ104" s="240"/>
      <c r="BA104" s="240"/>
      <c r="BB104" s="240"/>
      <c r="BC104" s="240"/>
      <c r="BD104" s="240"/>
      <c r="BE104" s="240"/>
      <c r="BF104" s="240"/>
      <c r="BG104" s="240"/>
      <c r="BH104" s="240"/>
    </row>
    <row r="105" spans="2:60">
      <c r="B105" s="69">
        <f t="shared" si="103"/>
        <v>1</v>
      </c>
      <c r="C105" s="69">
        <f t="shared" si="94"/>
        <v>7</v>
      </c>
      <c r="D105" s="69" t="str">
        <f t="shared" ref="D105:D108" si="109">D104</f>
        <v>GA Power</v>
      </c>
      <c r="E105" s="70">
        <v>2011</v>
      </c>
      <c r="F105" s="388">
        <v>1071</v>
      </c>
      <c r="G105" s="76">
        <f t="shared" si="101"/>
        <v>0.18771248225317524</v>
      </c>
      <c r="H105" s="71"/>
      <c r="I105" s="71"/>
      <c r="J105" s="388">
        <v>59952.331590000002</v>
      </c>
      <c r="K105" s="76">
        <f>J105/$J$248</f>
        <v>5.2111816852483429E-2</v>
      </c>
      <c r="L105" s="76"/>
      <c r="M105" s="388">
        <v>1761111</v>
      </c>
      <c r="N105" s="388">
        <v>44493.863772395802</v>
      </c>
      <c r="O105" s="71">
        <f t="shared" si="105"/>
        <v>-15458.4678176042</v>
      </c>
      <c r="P105" s="76">
        <f>AVERAGE($P$97:$P$99,$P$103)</f>
        <v>0.34371795311662784</v>
      </c>
      <c r="Q105" s="76">
        <f t="shared" si="106"/>
        <v>0.65628204688337211</v>
      </c>
      <c r="R105" s="126">
        <f t="shared" si="102"/>
        <v>0</v>
      </c>
      <c r="S105" s="126">
        <f t="shared" si="107"/>
        <v>0.65628204688337211</v>
      </c>
      <c r="T105" s="126">
        <f t="shared" si="107"/>
        <v>-0.65628204688337211</v>
      </c>
      <c r="U105" s="240"/>
      <c r="V105" s="240"/>
      <c r="W105" s="240"/>
      <c r="X105" s="240"/>
      <c r="Y105" s="240"/>
      <c r="Z105" s="240"/>
      <c r="AA105" s="240"/>
      <c r="AB105" s="240"/>
      <c r="AC105" s="240"/>
      <c r="AD105" s="240"/>
      <c r="AE105" s="240"/>
      <c r="AF105" s="240"/>
      <c r="AG105" s="240"/>
      <c r="AH105" s="240"/>
      <c r="AI105" s="240"/>
      <c r="AJ105" s="240"/>
      <c r="AK105" s="240"/>
      <c r="AL105" s="240"/>
      <c r="AM105" s="240"/>
      <c r="AN105" s="240"/>
      <c r="AO105" s="240"/>
      <c r="AP105" s="240"/>
      <c r="AQ105" s="240"/>
      <c r="AR105" s="240"/>
      <c r="AS105" s="240"/>
      <c r="AT105" s="240"/>
      <c r="AU105" s="240"/>
      <c r="AV105" s="240"/>
      <c r="AW105" s="240"/>
      <c r="AX105" s="240"/>
      <c r="AY105" s="240"/>
      <c r="AZ105" s="240"/>
      <c r="BA105" s="240"/>
      <c r="BB105" s="240"/>
      <c r="BC105" s="240"/>
      <c r="BD105" s="240"/>
      <c r="BE105" s="240"/>
      <c r="BF105" s="240"/>
      <c r="BG105" s="240"/>
      <c r="BH105" s="240"/>
    </row>
    <row r="106" spans="2:60">
      <c r="B106" s="69">
        <f t="shared" si="103"/>
        <v>1</v>
      </c>
      <c r="C106" s="69">
        <f t="shared" si="94"/>
        <v>7</v>
      </c>
      <c r="D106" s="69" t="str">
        <f t="shared" si="109"/>
        <v>GA Power</v>
      </c>
      <c r="E106" s="70">
        <v>2012</v>
      </c>
      <c r="F106" s="388">
        <v>1071</v>
      </c>
      <c r="G106" s="76">
        <f t="shared" si="101"/>
        <v>0.15032871596127034</v>
      </c>
      <c r="H106" s="71"/>
      <c r="I106" s="71"/>
      <c r="J106" s="388">
        <v>51645.810720000001</v>
      </c>
      <c r="K106" s="76">
        <f>J106/$J$249</f>
        <v>4.3516258656312291E-2</v>
      </c>
      <c r="L106" s="76"/>
      <c r="M106" s="388">
        <v>1410378</v>
      </c>
      <c r="N106" s="388">
        <v>25206.619853265496</v>
      </c>
      <c r="O106" s="71">
        <f t="shared" si="105"/>
        <v>-26439.190866734505</v>
      </c>
      <c r="P106" s="76">
        <f>AVERAGE($P$97:$P$99,$P$103)</f>
        <v>0.34371795311662784</v>
      </c>
      <c r="Q106" s="76">
        <f t="shared" si="106"/>
        <v>0.65628204688337211</v>
      </c>
      <c r="R106" s="126">
        <f t="shared" si="102"/>
        <v>0</v>
      </c>
      <c r="S106" s="126">
        <f t="shared" si="107"/>
        <v>0.65628204688337211</v>
      </c>
      <c r="T106" s="126">
        <f t="shared" si="107"/>
        <v>-0.65628204688337211</v>
      </c>
      <c r="U106" s="240"/>
      <c r="V106" s="240"/>
      <c r="W106" s="240"/>
      <c r="X106" s="240"/>
      <c r="Y106" s="240"/>
      <c r="Z106" s="240"/>
      <c r="AA106" s="240"/>
      <c r="AB106" s="240"/>
      <c r="AC106" s="240"/>
      <c r="AD106" s="240"/>
      <c r="AE106" s="240"/>
      <c r="AF106" s="240"/>
      <c r="AG106" s="240"/>
      <c r="AH106" s="240"/>
      <c r="AI106" s="240"/>
      <c r="AJ106" s="240"/>
      <c r="AK106" s="240"/>
      <c r="AL106" s="240"/>
      <c r="AM106" s="240"/>
      <c r="AN106" s="240"/>
      <c r="AO106" s="240"/>
      <c r="AP106" s="240"/>
      <c r="AQ106" s="240"/>
      <c r="AR106" s="240"/>
      <c r="AS106" s="240"/>
      <c r="AT106" s="240"/>
      <c r="AU106" s="240"/>
      <c r="AV106" s="240"/>
      <c r="AW106" s="240"/>
      <c r="AX106" s="240"/>
      <c r="AY106" s="240"/>
      <c r="AZ106" s="240"/>
      <c r="BA106" s="240"/>
      <c r="BB106" s="240"/>
      <c r="BC106" s="240"/>
      <c r="BD106" s="240"/>
      <c r="BE106" s="240"/>
      <c r="BF106" s="240"/>
      <c r="BG106" s="240"/>
      <c r="BH106" s="240"/>
    </row>
    <row r="107" spans="2:60">
      <c r="B107" s="69">
        <f t="shared" si="103"/>
        <v>1</v>
      </c>
      <c r="C107" s="69">
        <f t="shared" si="94"/>
        <v>7</v>
      </c>
      <c r="D107" s="69" t="str">
        <f t="shared" si="109"/>
        <v>GA Power</v>
      </c>
      <c r="E107" s="70">
        <v>2013</v>
      </c>
      <c r="F107" s="388">
        <v>1071</v>
      </c>
      <c r="G107" s="76">
        <f t="shared" si="101"/>
        <v>0.24906778540944535</v>
      </c>
      <c r="H107" s="69"/>
      <c r="I107" s="69"/>
      <c r="J107" s="388">
        <v>47707.905449999998</v>
      </c>
      <c r="K107" s="76">
        <f>J107/$J$250</f>
        <v>4.0659084150075582E-2</v>
      </c>
      <c r="L107" s="69"/>
      <c r="M107" s="388">
        <v>2336744</v>
      </c>
      <c r="N107" s="388">
        <v>69103.54771685625</v>
      </c>
      <c r="O107" s="71">
        <f t="shared" ref="O107:O108" si="110">N107-J107</f>
        <v>21395.642266856252</v>
      </c>
      <c r="P107" s="76">
        <f t="shared" ref="P107:P108" si="111">O107/N107</f>
        <v>0.30961713216986209</v>
      </c>
      <c r="Q107" s="76">
        <f t="shared" ref="Q107:Q108" si="112">1-P107</f>
        <v>0.69038286783013791</v>
      </c>
      <c r="R107" s="126">
        <f t="shared" ref="R107:R108" si="113">Q107*L107</f>
        <v>0</v>
      </c>
      <c r="S107" s="126">
        <f t="shared" ref="S107:S108" si="114">Q107-R107</f>
        <v>0.69038286783013791</v>
      </c>
      <c r="T107" s="126">
        <f t="shared" ref="T107:T108" si="115">R107-S107</f>
        <v>-0.69038286783013791</v>
      </c>
      <c r="U107" s="240"/>
      <c r="V107" s="240"/>
      <c r="W107" s="240"/>
      <c r="X107" s="240"/>
      <c r="Y107" s="240"/>
      <c r="Z107" s="240"/>
      <c r="AA107" s="240"/>
      <c r="AB107" s="240"/>
      <c r="AC107" s="240"/>
      <c r="AD107" s="240"/>
      <c r="AE107" s="240"/>
      <c r="AF107" s="240"/>
      <c r="AG107" s="240"/>
      <c r="AH107" s="240"/>
      <c r="AI107" s="240"/>
      <c r="AJ107" s="240"/>
      <c r="AK107" s="240"/>
      <c r="AL107" s="240"/>
      <c r="AM107" s="240"/>
      <c r="AN107" s="240"/>
      <c r="AO107" s="240"/>
      <c r="AP107" s="240"/>
      <c r="AQ107" s="240"/>
      <c r="AR107" s="240"/>
      <c r="AS107" s="240"/>
      <c r="AT107" s="240"/>
      <c r="AU107" s="240"/>
      <c r="AV107" s="240"/>
      <c r="AW107" s="240"/>
      <c r="AX107" s="240"/>
      <c r="AY107" s="240"/>
      <c r="AZ107" s="240"/>
      <c r="BA107" s="240"/>
      <c r="BB107" s="240"/>
      <c r="BC107" s="240"/>
      <c r="BD107" s="240"/>
      <c r="BE107" s="240"/>
      <c r="BF107" s="240"/>
      <c r="BG107" s="240"/>
      <c r="BH107" s="240"/>
    </row>
    <row r="108" spans="2:60">
      <c r="B108" s="69">
        <f t="shared" si="103"/>
        <v>1</v>
      </c>
      <c r="C108" s="69">
        <f t="shared" si="94"/>
        <v>7</v>
      </c>
      <c r="D108" s="69" t="str">
        <f t="shared" si="109"/>
        <v>GA Power</v>
      </c>
      <c r="E108" s="70">
        <v>2014</v>
      </c>
      <c r="F108" s="388">
        <v>1071</v>
      </c>
      <c r="G108" s="76">
        <f t="shared" si="101"/>
        <v>0.20340174121398941</v>
      </c>
      <c r="H108" s="69"/>
      <c r="I108" s="69"/>
      <c r="J108" s="388">
        <v>61799.222100000006</v>
      </c>
      <c r="K108" s="76">
        <f>J108/$J$251</f>
        <v>5.1340220465700435E-2</v>
      </c>
      <c r="L108" s="69"/>
      <c r="M108" s="388">
        <v>1908307</v>
      </c>
      <c r="N108" s="388">
        <v>75080.007214224373</v>
      </c>
      <c r="O108" s="71">
        <f t="shared" si="110"/>
        <v>13280.785114224367</v>
      </c>
      <c r="P108" s="76">
        <f t="shared" si="111"/>
        <v>0.17688843684218827</v>
      </c>
      <c r="Q108" s="76">
        <f t="shared" si="112"/>
        <v>0.82311156315781175</v>
      </c>
      <c r="R108" s="126">
        <f t="shared" si="113"/>
        <v>0</v>
      </c>
      <c r="S108" s="126">
        <f t="shared" si="114"/>
        <v>0.82311156315781175</v>
      </c>
      <c r="T108" s="126">
        <f t="shared" si="115"/>
        <v>-0.82311156315781175</v>
      </c>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40"/>
      <c r="AP108" s="240"/>
      <c r="AQ108" s="240"/>
      <c r="AR108" s="240"/>
      <c r="AS108" s="240"/>
      <c r="AT108" s="240"/>
      <c r="AU108" s="240"/>
      <c r="AV108" s="240"/>
      <c r="AW108" s="240"/>
      <c r="AX108" s="240"/>
      <c r="AY108" s="240"/>
      <c r="AZ108" s="240"/>
      <c r="BA108" s="240"/>
      <c r="BB108" s="240"/>
      <c r="BC108" s="240"/>
      <c r="BD108" s="240"/>
      <c r="BE108" s="240"/>
      <c r="BF108" s="240"/>
      <c r="BG108" s="240"/>
      <c r="BH108" s="240"/>
    </row>
    <row r="109" spans="2:60">
      <c r="B109" s="72">
        <f>'OPG hydro peers'!B12</f>
        <v>1</v>
      </c>
      <c r="C109" s="72">
        <f t="shared" si="94"/>
        <v>8</v>
      </c>
      <c r="D109" s="72" t="str">
        <f>'OPG hydro peers'!D12</f>
        <v>PacifiCorp</v>
      </c>
      <c r="E109" s="73">
        <v>2002</v>
      </c>
      <c r="F109" s="390">
        <v>979.5</v>
      </c>
      <c r="G109" s="75">
        <f t="shared" ref="G109:G121" si="116">M109/(F109*8760)</f>
        <v>0.37526391482002047</v>
      </c>
      <c r="H109" s="127"/>
      <c r="I109" s="127"/>
      <c r="J109" s="389">
        <v>25497.863100000002</v>
      </c>
      <c r="K109" s="75">
        <f>J109/$J$239</f>
        <v>3.5823407714290982E-2</v>
      </c>
      <c r="L109" s="75"/>
      <c r="M109" s="390">
        <v>3219922</v>
      </c>
      <c r="N109" s="389">
        <v>98988.436469845474</v>
      </c>
      <c r="O109" s="127">
        <f t="shared" ref="O109:O119" si="117">N109-J109</f>
        <v>73490.573369845471</v>
      </c>
      <c r="P109" s="75">
        <f>O109/N109</f>
        <v>0.74241574057220983</v>
      </c>
      <c r="Q109" s="75">
        <f>1-P109</f>
        <v>0.25758425942779017</v>
      </c>
      <c r="R109" s="125">
        <f t="shared" ref="R109:R119" si="118">Q109*L109</f>
        <v>0</v>
      </c>
      <c r="S109" s="125">
        <f>Q109-R109</f>
        <v>0.25758425942779017</v>
      </c>
      <c r="T109" s="125">
        <f>R109-S109</f>
        <v>-0.25758425942779017</v>
      </c>
      <c r="U109" s="240"/>
      <c r="V109" s="240"/>
      <c r="W109" s="240"/>
      <c r="X109" s="240"/>
      <c r="Y109" s="240"/>
      <c r="Z109" s="240"/>
      <c r="AA109" s="240"/>
      <c r="AB109" s="240"/>
      <c r="AC109" s="240"/>
      <c r="AD109" s="240"/>
      <c r="AE109" s="240"/>
      <c r="AF109" s="240"/>
      <c r="AG109" s="240"/>
      <c r="AH109" s="240"/>
      <c r="AI109" s="240"/>
      <c r="AJ109" s="240"/>
      <c r="AK109" s="240"/>
      <c r="AL109" s="240"/>
      <c r="AM109" s="240"/>
      <c r="AN109" s="240"/>
      <c r="AO109" s="240"/>
      <c r="AP109" s="240"/>
      <c r="AQ109" s="240"/>
      <c r="AR109" s="240"/>
      <c r="AS109" s="240"/>
      <c r="AT109" s="240"/>
      <c r="AU109" s="240"/>
      <c r="AV109" s="240"/>
      <c r="AW109" s="240"/>
      <c r="AX109" s="240"/>
      <c r="AY109" s="240"/>
      <c r="AZ109" s="240"/>
      <c r="BA109" s="240"/>
      <c r="BB109" s="240"/>
      <c r="BC109" s="240"/>
      <c r="BD109" s="240"/>
      <c r="BE109" s="240"/>
      <c r="BF109" s="240"/>
      <c r="BG109" s="240"/>
      <c r="BH109" s="240"/>
    </row>
    <row r="110" spans="2:60">
      <c r="B110" s="72">
        <f t="shared" ref="B110:B121" si="119">B109</f>
        <v>1</v>
      </c>
      <c r="C110" s="72">
        <f t="shared" si="94"/>
        <v>8</v>
      </c>
      <c r="D110" s="72" t="str">
        <f t="shared" ref="D110:D121" si="120">D109</f>
        <v>PacifiCorp</v>
      </c>
      <c r="E110" s="73">
        <v>2003</v>
      </c>
      <c r="F110" s="390">
        <v>988.6</v>
      </c>
      <c r="G110" s="75">
        <f t="shared" si="116"/>
        <v>0.39776142083680904</v>
      </c>
      <c r="H110" s="127"/>
      <c r="I110" s="127"/>
      <c r="J110" s="389">
        <v>26754.865289999998</v>
      </c>
      <c r="K110" s="75">
        <f>J110/$J$240</f>
        <v>3.357766762268645E-2</v>
      </c>
      <c r="L110" s="75"/>
      <c r="M110" s="390">
        <v>3444668</v>
      </c>
      <c r="N110" s="389">
        <v>177836.25091465336</v>
      </c>
      <c r="O110" s="127">
        <f t="shared" si="117"/>
        <v>151081.38562465337</v>
      </c>
      <c r="P110" s="75">
        <f t="shared" ref="P110:P119" si="121">O110/N110</f>
        <v>0.84955336635588374</v>
      </c>
      <c r="Q110" s="75">
        <f t="shared" ref="Q110:Q119" si="122">1-P110</f>
        <v>0.15044663364411626</v>
      </c>
      <c r="R110" s="125">
        <f t="shared" si="118"/>
        <v>0</v>
      </c>
      <c r="S110" s="125">
        <f t="shared" ref="S110:T119" si="123">Q110-R110</f>
        <v>0.15044663364411626</v>
      </c>
      <c r="T110" s="125">
        <f t="shared" si="123"/>
        <v>-0.15044663364411626</v>
      </c>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0"/>
      <c r="AP110" s="240"/>
      <c r="AQ110" s="240"/>
      <c r="AR110" s="240"/>
      <c r="AS110" s="240"/>
      <c r="AT110" s="240"/>
      <c r="AU110" s="240"/>
      <c r="AV110" s="240"/>
      <c r="AW110" s="240"/>
      <c r="AX110" s="240"/>
      <c r="AY110" s="240"/>
      <c r="AZ110" s="240"/>
      <c r="BA110" s="240"/>
      <c r="BB110" s="240"/>
      <c r="BC110" s="240"/>
      <c r="BD110" s="240"/>
      <c r="BE110" s="240"/>
      <c r="BF110" s="240"/>
      <c r="BG110" s="240"/>
      <c r="BH110" s="240"/>
    </row>
    <row r="111" spans="2:60">
      <c r="B111" s="72">
        <f t="shared" si="119"/>
        <v>1</v>
      </c>
      <c r="C111" s="72">
        <f t="shared" si="94"/>
        <v>8</v>
      </c>
      <c r="D111" s="72" t="str">
        <f t="shared" si="120"/>
        <v>PacifiCorp</v>
      </c>
      <c r="E111" s="73">
        <v>2004</v>
      </c>
      <c r="F111" s="390">
        <v>1003.14</v>
      </c>
      <c r="G111" s="75">
        <f t="shared" si="116"/>
        <v>0.35176873384695345</v>
      </c>
      <c r="H111" s="127"/>
      <c r="I111" s="127"/>
      <c r="J111" s="389">
        <v>34820.494350000001</v>
      </c>
      <c r="K111" s="75">
        <f>J111/$J$241</f>
        <v>4.2395767852448925E-2</v>
      </c>
      <c r="L111" s="75"/>
      <c r="M111" s="390">
        <v>3091170</v>
      </c>
      <c r="N111" s="389">
        <v>173660.96354106831</v>
      </c>
      <c r="O111" s="127">
        <f t="shared" si="117"/>
        <v>138840.46919106832</v>
      </c>
      <c r="P111" s="75">
        <f t="shared" si="121"/>
        <v>0.79949152855088557</v>
      </c>
      <c r="Q111" s="75">
        <f t="shared" si="122"/>
        <v>0.20050847144911443</v>
      </c>
      <c r="R111" s="125">
        <f t="shared" si="118"/>
        <v>0</v>
      </c>
      <c r="S111" s="125">
        <f t="shared" si="123"/>
        <v>0.20050847144911443</v>
      </c>
      <c r="T111" s="125">
        <f t="shared" si="123"/>
        <v>-0.20050847144911443</v>
      </c>
      <c r="U111" s="240"/>
      <c r="V111" s="240"/>
      <c r="W111" s="240"/>
      <c r="X111" s="240"/>
      <c r="Y111" s="240"/>
      <c r="Z111" s="240"/>
      <c r="AA111" s="240"/>
      <c r="AB111" s="240"/>
      <c r="AC111" s="240"/>
      <c r="AD111" s="240"/>
      <c r="AE111" s="240"/>
      <c r="AF111" s="240"/>
      <c r="AG111" s="240"/>
      <c r="AH111" s="240"/>
      <c r="AI111" s="240"/>
      <c r="AJ111" s="240"/>
      <c r="AK111" s="240"/>
      <c r="AL111" s="240"/>
      <c r="AM111" s="240"/>
      <c r="AN111" s="240"/>
      <c r="AO111" s="240"/>
      <c r="AP111" s="240"/>
      <c r="AQ111" s="240"/>
      <c r="AR111" s="240"/>
      <c r="AS111" s="240"/>
      <c r="AT111" s="240"/>
      <c r="AU111" s="240"/>
      <c r="AV111" s="240"/>
      <c r="AW111" s="240"/>
      <c r="AX111" s="240"/>
      <c r="AY111" s="240"/>
      <c r="AZ111" s="240"/>
      <c r="BA111" s="240"/>
      <c r="BB111" s="240"/>
      <c r="BC111" s="240"/>
      <c r="BD111" s="240"/>
      <c r="BE111" s="240"/>
      <c r="BF111" s="240"/>
      <c r="BG111" s="240"/>
      <c r="BH111" s="240"/>
    </row>
    <row r="112" spans="2:60">
      <c r="B112" s="72">
        <f t="shared" si="119"/>
        <v>1</v>
      </c>
      <c r="C112" s="72">
        <f t="shared" si="94"/>
        <v>8</v>
      </c>
      <c r="D112" s="72" t="str">
        <f t="shared" si="120"/>
        <v>PacifiCorp</v>
      </c>
      <c r="E112" s="73">
        <v>2005</v>
      </c>
      <c r="F112" s="390">
        <v>1003.14</v>
      </c>
      <c r="G112" s="75">
        <f t="shared" si="116"/>
        <v>0.33742416392436425</v>
      </c>
      <c r="H112" s="127"/>
      <c r="I112" s="127"/>
      <c r="J112" s="389">
        <v>34601.1423</v>
      </c>
      <c r="K112" s="75">
        <f>J112/$J$242</f>
        <v>3.9893109115919867E-2</v>
      </c>
      <c r="L112" s="75"/>
      <c r="M112" s="390">
        <v>2965117</v>
      </c>
      <c r="N112" s="389">
        <v>227781.55794615878</v>
      </c>
      <c r="O112" s="127">
        <f t="shared" si="117"/>
        <v>193180.41564615877</v>
      </c>
      <c r="P112" s="75">
        <f t="shared" si="121"/>
        <v>0.84809506699318149</v>
      </c>
      <c r="Q112" s="75">
        <f t="shared" si="122"/>
        <v>0.15190493300681851</v>
      </c>
      <c r="R112" s="125">
        <f t="shared" si="118"/>
        <v>0</v>
      </c>
      <c r="S112" s="125">
        <f t="shared" si="123"/>
        <v>0.15190493300681851</v>
      </c>
      <c r="T112" s="125">
        <f t="shared" si="123"/>
        <v>-0.15190493300681851</v>
      </c>
      <c r="U112" s="240"/>
      <c r="V112" s="240"/>
      <c r="W112" s="240"/>
      <c r="X112" s="240"/>
      <c r="Y112" s="240"/>
      <c r="Z112" s="240"/>
      <c r="AA112" s="240"/>
      <c r="AB112" s="240"/>
      <c r="AC112" s="240"/>
      <c r="AD112" s="240"/>
      <c r="AE112" s="240"/>
      <c r="AF112" s="240"/>
      <c r="AG112" s="240"/>
      <c r="AH112" s="240"/>
      <c r="AI112" s="240"/>
      <c r="AJ112" s="240"/>
      <c r="AK112" s="240"/>
      <c r="AL112" s="240"/>
      <c r="AM112" s="240"/>
      <c r="AN112" s="240"/>
      <c r="AO112" s="240"/>
      <c r="AP112" s="240"/>
      <c r="AQ112" s="240"/>
      <c r="AR112" s="240"/>
      <c r="AS112" s="240"/>
      <c r="AT112" s="240"/>
      <c r="AU112" s="240"/>
      <c r="AV112" s="240"/>
      <c r="AW112" s="240"/>
      <c r="AX112" s="240"/>
      <c r="AY112" s="240"/>
      <c r="AZ112" s="240"/>
      <c r="BA112" s="240"/>
      <c r="BB112" s="240"/>
      <c r="BC112" s="240"/>
      <c r="BD112" s="240"/>
      <c r="BE112" s="240"/>
      <c r="BF112" s="240"/>
      <c r="BG112" s="240"/>
      <c r="BH112" s="240"/>
    </row>
    <row r="113" spans="2:60">
      <c r="B113" s="72">
        <f t="shared" si="119"/>
        <v>1</v>
      </c>
      <c r="C113" s="72">
        <f t="shared" si="94"/>
        <v>8</v>
      </c>
      <c r="D113" s="72" t="str">
        <f t="shared" si="120"/>
        <v>PacifiCorp</v>
      </c>
      <c r="E113" s="73">
        <v>2006</v>
      </c>
      <c r="F113" s="390">
        <v>1010.77</v>
      </c>
      <c r="G113" s="75">
        <f t="shared" si="116"/>
        <v>0.48001257055123631</v>
      </c>
      <c r="H113" s="127"/>
      <c r="I113" s="127"/>
      <c r="J113" s="389">
        <v>32842.031969999996</v>
      </c>
      <c r="K113" s="75">
        <f>J113/$J$243</f>
        <v>3.5956588845716973E-2</v>
      </c>
      <c r="L113" s="75"/>
      <c r="M113" s="390">
        <v>4250197</v>
      </c>
      <c r="N113" s="389">
        <v>271324.60383125074</v>
      </c>
      <c r="O113" s="127">
        <f t="shared" si="117"/>
        <v>238482.57186125073</v>
      </c>
      <c r="P113" s="75">
        <f t="shared" si="121"/>
        <v>0.8789566758552203</v>
      </c>
      <c r="Q113" s="75">
        <f t="shared" si="122"/>
        <v>0.1210433241447797</v>
      </c>
      <c r="R113" s="125">
        <f t="shared" si="118"/>
        <v>0</v>
      </c>
      <c r="S113" s="125">
        <f t="shared" si="123"/>
        <v>0.1210433241447797</v>
      </c>
      <c r="T113" s="125">
        <f t="shared" si="123"/>
        <v>-0.1210433241447797</v>
      </c>
      <c r="U113" s="240"/>
      <c r="V113" s="240"/>
      <c r="W113" s="240"/>
      <c r="X113" s="240"/>
      <c r="Y113" s="240"/>
      <c r="Z113" s="240"/>
      <c r="AA113" s="240"/>
      <c r="AB113" s="240"/>
      <c r="AC113" s="240"/>
      <c r="AD113" s="240"/>
      <c r="AE113" s="240"/>
      <c r="AF113" s="240"/>
      <c r="AG113" s="240"/>
      <c r="AH113" s="240"/>
      <c r="AI113" s="240"/>
      <c r="AJ113" s="240"/>
      <c r="AK113" s="240"/>
      <c r="AL113" s="240"/>
      <c r="AM113" s="240"/>
      <c r="AN113" s="240"/>
      <c r="AO113" s="240"/>
      <c r="AP113" s="240"/>
      <c r="AQ113" s="240"/>
      <c r="AR113" s="240"/>
      <c r="AS113" s="240"/>
      <c r="AT113" s="240"/>
      <c r="AU113" s="240"/>
      <c r="AV113" s="240"/>
      <c r="AW113" s="240"/>
      <c r="AX113" s="240"/>
      <c r="AY113" s="240"/>
      <c r="AZ113" s="240"/>
      <c r="BA113" s="240"/>
      <c r="BB113" s="240"/>
      <c r="BC113" s="240"/>
      <c r="BD113" s="240"/>
      <c r="BE113" s="240"/>
      <c r="BF113" s="240"/>
      <c r="BG113" s="240"/>
      <c r="BH113" s="240"/>
    </row>
    <row r="114" spans="2:60">
      <c r="B114" s="72">
        <f t="shared" si="119"/>
        <v>1</v>
      </c>
      <c r="C114" s="72">
        <f t="shared" si="94"/>
        <v>8</v>
      </c>
      <c r="D114" s="72" t="str">
        <f t="shared" si="120"/>
        <v>PacifiCorp</v>
      </c>
      <c r="E114" s="73">
        <v>2007</v>
      </c>
      <c r="F114" s="390">
        <v>1010.77</v>
      </c>
      <c r="G114" s="75">
        <f t="shared" si="116"/>
        <v>0.38891910380905415</v>
      </c>
      <c r="H114" s="127"/>
      <c r="I114" s="127"/>
      <c r="J114" s="389">
        <v>35559.201599999993</v>
      </c>
      <c r="K114" s="75">
        <f>J114/$J$244</f>
        <v>3.5747368436307554E-2</v>
      </c>
      <c r="L114" s="75"/>
      <c r="M114" s="390">
        <v>3443624</v>
      </c>
      <c r="N114" s="389">
        <v>242396.12012377178</v>
      </c>
      <c r="O114" s="127">
        <f t="shared" si="117"/>
        <v>206836.91852377178</v>
      </c>
      <c r="P114" s="75">
        <f t="shared" si="121"/>
        <v>0.85330127568938463</v>
      </c>
      <c r="Q114" s="75">
        <f t="shared" si="122"/>
        <v>0.14669872431061537</v>
      </c>
      <c r="R114" s="125">
        <f t="shared" si="118"/>
        <v>0</v>
      </c>
      <c r="S114" s="125">
        <f t="shared" si="123"/>
        <v>0.14669872431061537</v>
      </c>
      <c r="T114" s="125">
        <f t="shared" si="123"/>
        <v>-0.14669872431061537</v>
      </c>
      <c r="U114" s="240"/>
      <c r="V114" s="240"/>
      <c r="W114" s="240"/>
      <c r="X114" s="240"/>
      <c r="Y114" s="240"/>
      <c r="Z114" s="240"/>
      <c r="AA114" s="240"/>
      <c r="AB114" s="240"/>
      <c r="AC114" s="240"/>
      <c r="AD114" s="240"/>
      <c r="AE114" s="240"/>
      <c r="AF114" s="240"/>
      <c r="AG114" s="240"/>
      <c r="AH114" s="240"/>
      <c r="AI114" s="240"/>
      <c r="AJ114" s="240"/>
      <c r="AK114" s="240"/>
      <c r="AL114" s="240"/>
      <c r="AM114" s="240"/>
      <c r="AN114" s="240"/>
      <c r="AO114" s="240"/>
      <c r="AP114" s="240"/>
      <c r="AQ114" s="240"/>
      <c r="AR114" s="240"/>
      <c r="AS114" s="240"/>
      <c r="AT114" s="240"/>
      <c r="AU114" s="240"/>
      <c r="AV114" s="240"/>
      <c r="AW114" s="240"/>
      <c r="AX114" s="240"/>
      <c r="AY114" s="240"/>
      <c r="AZ114" s="240"/>
      <c r="BA114" s="240"/>
      <c r="BB114" s="240"/>
      <c r="BC114" s="240"/>
      <c r="BD114" s="240"/>
      <c r="BE114" s="240"/>
      <c r="BF114" s="240"/>
      <c r="BG114" s="240"/>
      <c r="BH114" s="240"/>
    </row>
    <row r="115" spans="2:60">
      <c r="B115" s="72">
        <f t="shared" si="119"/>
        <v>1</v>
      </c>
      <c r="C115" s="72">
        <f t="shared" si="94"/>
        <v>8</v>
      </c>
      <c r="D115" s="72" t="str">
        <f t="shared" si="120"/>
        <v>PacifiCorp</v>
      </c>
      <c r="E115" s="73">
        <v>2008</v>
      </c>
      <c r="F115" s="390">
        <v>1010.77</v>
      </c>
      <c r="G115" s="75">
        <f t="shared" si="116"/>
        <v>0.38864070942253304</v>
      </c>
      <c r="H115" s="127"/>
      <c r="I115" s="127"/>
      <c r="J115" s="389">
        <v>36266.698829999994</v>
      </c>
      <c r="K115" s="75">
        <f>J115/$J$245</f>
        <v>3.3471711379271026E-2</v>
      </c>
      <c r="L115" s="75"/>
      <c r="M115" s="390">
        <v>3441159</v>
      </c>
      <c r="N115" s="389">
        <v>287926.38299186464</v>
      </c>
      <c r="O115" s="127">
        <f t="shared" si="117"/>
        <v>251659.68416186463</v>
      </c>
      <c r="P115" s="75">
        <f t="shared" si="121"/>
        <v>0.87404176563067959</v>
      </c>
      <c r="Q115" s="75">
        <f t="shared" si="122"/>
        <v>0.12595823436932041</v>
      </c>
      <c r="R115" s="125">
        <f t="shared" si="118"/>
        <v>0</v>
      </c>
      <c r="S115" s="125">
        <f t="shared" si="123"/>
        <v>0.12595823436932041</v>
      </c>
      <c r="T115" s="125">
        <f t="shared" si="123"/>
        <v>-0.12595823436932041</v>
      </c>
      <c r="U115" s="240"/>
      <c r="V115" s="240"/>
      <c r="W115" s="240"/>
      <c r="X115" s="240"/>
      <c r="Y115" s="240"/>
      <c r="Z115" s="240"/>
      <c r="AA115" s="240"/>
      <c r="AB115" s="240"/>
      <c r="AC115" s="240"/>
      <c r="AD115" s="240"/>
      <c r="AE115" s="240"/>
      <c r="AF115" s="240"/>
      <c r="AG115" s="240"/>
      <c r="AH115" s="240"/>
      <c r="AI115" s="240"/>
      <c r="AJ115" s="240"/>
      <c r="AK115" s="240"/>
      <c r="AL115" s="240"/>
      <c r="AM115" s="240"/>
      <c r="AN115" s="240"/>
      <c r="AO115" s="240"/>
      <c r="AP115" s="240"/>
      <c r="AQ115" s="240"/>
      <c r="AR115" s="240"/>
      <c r="AS115" s="240"/>
      <c r="AT115" s="240"/>
      <c r="AU115" s="240"/>
      <c r="AV115" s="240"/>
      <c r="AW115" s="240"/>
      <c r="AX115" s="240"/>
      <c r="AY115" s="240"/>
      <c r="AZ115" s="240"/>
      <c r="BA115" s="240"/>
      <c r="BB115" s="240"/>
      <c r="BC115" s="240"/>
      <c r="BD115" s="240"/>
      <c r="BE115" s="240"/>
      <c r="BF115" s="240"/>
      <c r="BG115" s="240"/>
      <c r="BH115" s="240"/>
    </row>
    <row r="116" spans="2:60">
      <c r="B116" s="72">
        <f t="shared" si="119"/>
        <v>1</v>
      </c>
      <c r="C116" s="72">
        <f t="shared" si="94"/>
        <v>8</v>
      </c>
      <c r="D116" s="72" t="str">
        <f t="shared" si="120"/>
        <v>PacifiCorp</v>
      </c>
      <c r="E116" s="73">
        <v>2009</v>
      </c>
      <c r="F116" s="390">
        <v>1010.77</v>
      </c>
      <c r="G116" s="75">
        <f t="shared" si="116"/>
        <v>0.36298471850860303</v>
      </c>
      <c r="H116" s="127"/>
      <c r="I116" s="127"/>
      <c r="J116" s="389">
        <v>37242.910470000003</v>
      </c>
      <c r="K116" s="75">
        <f>J116/$J$246</f>
        <v>3.4697271589836487E-2</v>
      </c>
      <c r="L116" s="75"/>
      <c r="M116" s="390">
        <v>3213992</v>
      </c>
      <c r="N116" s="389">
        <v>135675.96011335167</v>
      </c>
      <c r="O116" s="127">
        <f t="shared" si="117"/>
        <v>98433.049643351667</v>
      </c>
      <c r="P116" s="75">
        <f t="shared" si="121"/>
        <v>0.72550103615345651</v>
      </c>
      <c r="Q116" s="75">
        <f t="shared" si="122"/>
        <v>0.27449896384654349</v>
      </c>
      <c r="R116" s="125">
        <f t="shared" si="118"/>
        <v>0</v>
      </c>
      <c r="S116" s="125">
        <f t="shared" si="123"/>
        <v>0.27449896384654349</v>
      </c>
      <c r="T116" s="125">
        <f t="shared" si="123"/>
        <v>-0.27449896384654349</v>
      </c>
      <c r="U116" s="240"/>
      <c r="V116" s="240"/>
      <c r="W116" s="240"/>
      <c r="X116" s="240"/>
      <c r="Y116" s="240"/>
      <c r="Z116" s="240"/>
      <c r="AA116" s="240"/>
      <c r="AB116" s="240"/>
      <c r="AC116" s="240"/>
      <c r="AD116" s="240"/>
      <c r="AE116" s="240"/>
      <c r="AF116" s="240"/>
      <c r="AG116" s="240"/>
      <c r="AH116" s="240"/>
      <c r="AI116" s="240"/>
      <c r="AJ116" s="240"/>
      <c r="AK116" s="240"/>
      <c r="AL116" s="240"/>
      <c r="AM116" s="240"/>
      <c r="AN116" s="240"/>
      <c r="AO116" s="240"/>
      <c r="AP116" s="240"/>
      <c r="AQ116" s="240"/>
      <c r="AR116" s="240"/>
      <c r="AS116" s="240"/>
      <c r="AT116" s="240"/>
      <c r="AU116" s="240"/>
      <c r="AV116" s="240"/>
      <c r="AW116" s="240"/>
      <c r="AX116" s="240"/>
      <c r="AY116" s="240"/>
      <c r="AZ116" s="240"/>
      <c r="BA116" s="240"/>
      <c r="BB116" s="240"/>
      <c r="BC116" s="240"/>
      <c r="BD116" s="240"/>
      <c r="BE116" s="240"/>
      <c r="BF116" s="240"/>
      <c r="BG116" s="240"/>
      <c r="BH116" s="240"/>
    </row>
    <row r="117" spans="2:60">
      <c r="B117" s="72">
        <f t="shared" si="119"/>
        <v>1</v>
      </c>
      <c r="C117" s="72">
        <f t="shared" si="94"/>
        <v>8</v>
      </c>
      <c r="D117" s="72" t="str">
        <f t="shared" si="120"/>
        <v>PacifiCorp</v>
      </c>
      <c r="E117" s="73">
        <v>2010</v>
      </c>
      <c r="F117" s="390">
        <v>1010.77</v>
      </c>
      <c r="G117" s="75">
        <f t="shared" si="116"/>
        <v>0.38798939079086281</v>
      </c>
      <c r="H117" s="127"/>
      <c r="I117" s="127"/>
      <c r="J117" s="389">
        <v>35590.968809999991</v>
      </c>
      <c r="K117" s="75">
        <f>J117/$J$247</f>
        <v>3.087422319466478E-2</v>
      </c>
      <c r="L117" s="75"/>
      <c r="M117" s="390">
        <v>3435392</v>
      </c>
      <c r="N117" s="389">
        <v>149970.90692570031</v>
      </c>
      <c r="O117" s="127">
        <f t="shared" si="117"/>
        <v>114379.93811570032</v>
      </c>
      <c r="P117" s="75">
        <f t="shared" si="121"/>
        <v>0.76268084564139682</v>
      </c>
      <c r="Q117" s="75">
        <f t="shared" si="122"/>
        <v>0.23731915435860318</v>
      </c>
      <c r="R117" s="125">
        <f t="shared" si="118"/>
        <v>0</v>
      </c>
      <c r="S117" s="125">
        <f t="shared" si="123"/>
        <v>0.23731915435860318</v>
      </c>
      <c r="T117" s="125">
        <f t="shared" si="123"/>
        <v>-0.23731915435860318</v>
      </c>
      <c r="U117" s="240"/>
      <c r="V117" s="240"/>
      <c r="W117" s="240"/>
      <c r="X117" s="240"/>
      <c r="Y117" s="240"/>
      <c r="Z117" s="240"/>
      <c r="AA117" s="240"/>
      <c r="AB117" s="240"/>
      <c r="AC117" s="240"/>
      <c r="AD117" s="240"/>
      <c r="AE117" s="240"/>
      <c r="AF117" s="240"/>
      <c r="AG117" s="240"/>
      <c r="AH117" s="240"/>
      <c r="AI117" s="240"/>
      <c r="AJ117" s="240"/>
      <c r="AK117" s="240"/>
      <c r="AL117" s="240"/>
      <c r="AM117" s="240"/>
      <c r="AN117" s="240"/>
      <c r="AO117" s="240"/>
      <c r="AP117" s="240"/>
      <c r="AQ117" s="240"/>
      <c r="AR117" s="240"/>
      <c r="AS117" s="240"/>
      <c r="AT117" s="240"/>
      <c r="AU117" s="240"/>
      <c r="AV117" s="240"/>
      <c r="AW117" s="240"/>
      <c r="AX117" s="240"/>
      <c r="AY117" s="240"/>
      <c r="AZ117" s="240"/>
      <c r="BA117" s="240"/>
      <c r="BB117" s="240"/>
      <c r="BC117" s="240"/>
      <c r="BD117" s="240"/>
      <c r="BE117" s="240"/>
      <c r="BF117" s="240"/>
      <c r="BG117" s="240"/>
      <c r="BH117" s="240"/>
    </row>
    <row r="118" spans="2:60">
      <c r="B118" s="72">
        <f t="shared" si="119"/>
        <v>1</v>
      </c>
      <c r="C118" s="72">
        <f t="shared" si="94"/>
        <v>8</v>
      </c>
      <c r="D118" s="72" t="str">
        <f t="shared" si="120"/>
        <v>PacifiCorp</v>
      </c>
      <c r="E118" s="73">
        <v>2011</v>
      </c>
      <c r="F118" s="390">
        <v>1016.27</v>
      </c>
      <c r="G118" s="75">
        <f t="shared" si="116"/>
        <v>0.48741990643284</v>
      </c>
      <c r="H118" s="127"/>
      <c r="I118" s="127"/>
      <c r="J118" s="389">
        <v>38791.797809999996</v>
      </c>
      <c r="K118" s="75">
        <f>J118/$J$248</f>
        <v>3.3718639613183519E-2</v>
      </c>
      <c r="L118" s="75"/>
      <c r="M118" s="390">
        <v>4339268</v>
      </c>
      <c r="N118" s="389">
        <v>154322.1676353435</v>
      </c>
      <c r="O118" s="127">
        <f t="shared" si="117"/>
        <v>115530.36982534351</v>
      </c>
      <c r="P118" s="75">
        <f t="shared" si="121"/>
        <v>0.74863107222765757</v>
      </c>
      <c r="Q118" s="75">
        <f t="shared" si="122"/>
        <v>0.25136892777234243</v>
      </c>
      <c r="R118" s="125">
        <f t="shared" si="118"/>
        <v>0</v>
      </c>
      <c r="S118" s="125">
        <f t="shared" si="123"/>
        <v>0.25136892777234243</v>
      </c>
      <c r="T118" s="125">
        <f t="shared" si="123"/>
        <v>-0.25136892777234243</v>
      </c>
      <c r="U118" s="240"/>
      <c r="V118" s="240"/>
      <c r="W118" s="240"/>
      <c r="X118" s="240"/>
      <c r="Y118" s="240"/>
      <c r="Z118" s="240"/>
      <c r="AA118" s="240"/>
      <c r="AB118" s="240"/>
      <c r="AC118" s="240"/>
      <c r="AD118" s="240"/>
      <c r="AE118" s="240"/>
      <c r="AF118" s="240"/>
      <c r="AG118" s="240"/>
      <c r="AH118" s="240"/>
      <c r="AI118" s="240"/>
      <c r="AJ118" s="240"/>
      <c r="AK118" s="240"/>
      <c r="AL118" s="240"/>
      <c r="AM118" s="240"/>
      <c r="AN118" s="240"/>
      <c r="AO118" s="240"/>
      <c r="AP118" s="240"/>
      <c r="AQ118" s="240"/>
      <c r="AR118" s="240"/>
      <c r="AS118" s="240"/>
      <c r="AT118" s="240"/>
      <c r="AU118" s="240"/>
      <c r="AV118" s="240"/>
      <c r="AW118" s="240"/>
      <c r="AX118" s="240"/>
      <c r="AY118" s="240"/>
      <c r="AZ118" s="240"/>
      <c r="BA118" s="240"/>
      <c r="BB118" s="240"/>
      <c r="BC118" s="240"/>
      <c r="BD118" s="240"/>
      <c r="BE118" s="240"/>
      <c r="BF118" s="240"/>
      <c r="BG118" s="240"/>
      <c r="BH118" s="240"/>
    </row>
    <row r="119" spans="2:60">
      <c r="B119" s="72">
        <f t="shared" si="119"/>
        <v>1</v>
      </c>
      <c r="C119" s="72">
        <f t="shared" si="94"/>
        <v>8</v>
      </c>
      <c r="D119" s="72" t="str">
        <f t="shared" si="120"/>
        <v>PacifiCorp</v>
      </c>
      <c r="E119" s="73">
        <v>2012</v>
      </c>
      <c r="F119" s="390">
        <v>1016.27</v>
      </c>
      <c r="G119" s="75">
        <f t="shared" si="116"/>
        <v>0.45839207509348023</v>
      </c>
      <c r="H119" s="127"/>
      <c r="I119" s="127"/>
      <c r="J119" s="389">
        <v>37712.608110000001</v>
      </c>
      <c r="K119" s="75">
        <f>J119/$J$249</f>
        <v>3.1776277421924078E-2</v>
      </c>
      <c r="L119" s="75"/>
      <c r="M119" s="390">
        <v>4080847</v>
      </c>
      <c r="N119" s="389">
        <v>116332.05257686159</v>
      </c>
      <c r="O119" s="127">
        <f t="shared" si="117"/>
        <v>78619.444466861591</v>
      </c>
      <c r="P119" s="75">
        <f t="shared" si="121"/>
        <v>0.67581928389784962</v>
      </c>
      <c r="Q119" s="75">
        <f t="shared" si="122"/>
        <v>0.32418071610215038</v>
      </c>
      <c r="R119" s="125">
        <f t="shared" si="118"/>
        <v>0</v>
      </c>
      <c r="S119" s="125">
        <f t="shared" si="123"/>
        <v>0.32418071610215038</v>
      </c>
      <c r="T119" s="125">
        <f t="shared" si="123"/>
        <v>-0.32418071610215038</v>
      </c>
      <c r="U119" s="240"/>
      <c r="V119" s="240"/>
      <c r="W119" s="240"/>
      <c r="X119" s="240"/>
      <c r="Y119" s="240"/>
      <c r="Z119" s="240"/>
      <c r="AA119" s="240"/>
      <c r="AB119" s="240"/>
      <c r="AC119" s="240"/>
      <c r="AD119" s="240"/>
      <c r="AE119" s="240"/>
      <c r="AF119" s="240"/>
      <c r="AG119" s="240"/>
      <c r="AH119" s="240"/>
      <c r="AI119" s="240"/>
      <c r="AJ119" s="240"/>
      <c r="AK119" s="240"/>
      <c r="AL119" s="240"/>
      <c r="AM119" s="240"/>
      <c r="AN119" s="240"/>
      <c r="AO119" s="240"/>
      <c r="AP119" s="240"/>
      <c r="AQ119" s="240"/>
      <c r="AR119" s="240"/>
      <c r="AS119" s="240"/>
      <c r="AT119" s="240"/>
      <c r="AU119" s="240"/>
      <c r="AV119" s="240"/>
      <c r="AW119" s="240"/>
      <c r="AX119" s="240"/>
      <c r="AY119" s="240"/>
      <c r="AZ119" s="240"/>
      <c r="BA119" s="240"/>
      <c r="BB119" s="240"/>
      <c r="BC119" s="240"/>
      <c r="BD119" s="240"/>
      <c r="BE119" s="240"/>
      <c r="BF119" s="240"/>
      <c r="BG119" s="240"/>
      <c r="BH119" s="240"/>
    </row>
    <row r="120" spans="2:60">
      <c r="B120" s="72">
        <f t="shared" si="119"/>
        <v>1</v>
      </c>
      <c r="C120" s="72">
        <f t="shared" si="94"/>
        <v>8</v>
      </c>
      <c r="D120" s="72" t="str">
        <f t="shared" si="120"/>
        <v>PacifiCorp</v>
      </c>
      <c r="E120" s="73">
        <v>2013</v>
      </c>
      <c r="F120" s="390">
        <v>1016.27</v>
      </c>
      <c r="G120" s="75">
        <f t="shared" si="116"/>
        <v>0.33436580443490349</v>
      </c>
      <c r="H120" s="127"/>
      <c r="I120" s="127"/>
      <c r="J120" s="389">
        <v>40175.152979999999</v>
      </c>
      <c r="K120" s="75">
        <f>J120/$J$250</f>
        <v>3.4239292426450046E-2</v>
      </c>
      <c r="L120" s="72"/>
      <c r="M120" s="390">
        <v>2976700</v>
      </c>
      <c r="N120" s="389">
        <v>134754.456065598</v>
      </c>
      <c r="O120" s="127">
        <f t="shared" ref="O120:O121" si="124">N120-J120</f>
        <v>94579.303085598003</v>
      </c>
      <c r="P120" s="75">
        <f t="shared" ref="P120:P121" si="125">O120/N120</f>
        <v>0.70186401138050025</v>
      </c>
      <c r="Q120" s="75">
        <f t="shared" ref="Q120:Q121" si="126">1-P120</f>
        <v>0.29813598861949975</v>
      </c>
      <c r="R120" s="125">
        <f t="shared" ref="R120:R121" si="127">Q120*L120</f>
        <v>0</v>
      </c>
      <c r="S120" s="125">
        <f t="shared" ref="S120:S121" si="128">Q120-R120</f>
        <v>0.29813598861949975</v>
      </c>
      <c r="T120" s="125">
        <f t="shared" ref="T120:T121" si="129">R120-S120</f>
        <v>-0.29813598861949975</v>
      </c>
      <c r="U120" s="240"/>
      <c r="V120" s="240"/>
      <c r="W120" s="240"/>
      <c r="X120" s="240"/>
      <c r="Y120" s="240"/>
      <c r="Z120" s="240"/>
      <c r="AA120" s="240"/>
      <c r="AB120" s="240"/>
      <c r="AC120" s="240"/>
      <c r="AD120" s="240"/>
      <c r="AE120" s="240"/>
      <c r="AF120" s="240"/>
      <c r="AG120" s="240"/>
      <c r="AH120" s="240"/>
      <c r="AI120" s="240"/>
      <c r="AJ120" s="240"/>
      <c r="AK120" s="240"/>
      <c r="AL120" s="240"/>
      <c r="AM120" s="240"/>
      <c r="AN120" s="240"/>
      <c r="AO120" s="240"/>
      <c r="AP120" s="240"/>
      <c r="AQ120" s="240"/>
      <c r="AR120" s="240"/>
      <c r="AS120" s="240"/>
      <c r="AT120" s="240"/>
      <c r="AU120" s="240"/>
      <c r="AV120" s="240"/>
      <c r="AW120" s="240"/>
      <c r="AX120" s="240"/>
      <c r="AY120" s="240"/>
      <c r="AZ120" s="240"/>
      <c r="BA120" s="240"/>
      <c r="BB120" s="240"/>
      <c r="BC120" s="240"/>
      <c r="BD120" s="240"/>
      <c r="BE120" s="240"/>
      <c r="BF120" s="240"/>
      <c r="BG120" s="240"/>
      <c r="BH120" s="240"/>
    </row>
    <row r="121" spans="2:60">
      <c r="B121" s="72">
        <f t="shared" si="119"/>
        <v>1</v>
      </c>
      <c r="C121" s="72">
        <f t="shared" si="94"/>
        <v>8</v>
      </c>
      <c r="D121" s="72" t="str">
        <f t="shared" si="120"/>
        <v>PacifiCorp</v>
      </c>
      <c r="E121" s="73">
        <v>2014</v>
      </c>
      <c r="F121" s="390">
        <v>1016.27</v>
      </c>
      <c r="G121" s="75">
        <f t="shared" si="116"/>
        <v>0.4038629399218101</v>
      </c>
      <c r="H121" s="127"/>
      <c r="I121" s="127"/>
      <c r="J121" s="389">
        <v>38805.439740000002</v>
      </c>
      <c r="K121" s="75">
        <f>J121/$J$251</f>
        <v>3.2237943518063354E-2</v>
      </c>
      <c r="L121" s="72"/>
      <c r="M121" s="390">
        <v>3595400</v>
      </c>
      <c r="N121" s="389">
        <v>174352.64487867008</v>
      </c>
      <c r="O121" s="127">
        <f t="shared" si="124"/>
        <v>135547.20513867008</v>
      </c>
      <c r="P121" s="75">
        <f t="shared" si="125"/>
        <v>0.77743131016449885</v>
      </c>
      <c r="Q121" s="75">
        <f t="shared" si="126"/>
        <v>0.22256868983550115</v>
      </c>
      <c r="R121" s="125">
        <f t="shared" si="127"/>
        <v>0</v>
      </c>
      <c r="S121" s="125">
        <f t="shared" si="128"/>
        <v>0.22256868983550115</v>
      </c>
      <c r="T121" s="125">
        <f t="shared" si="129"/>
        <v>-0.22256868983550115</v>
      </c>
      <c r="U121" s="240"/>
      <c r="V121" s="240"/>
      <c r="W121" s="240"/>
      <c r="X121" s="240"/>
      <c r="Y121" s="240"/>
      <c r="Z121" s="240"/>
      <c r="AA121" s="240"/>
      <c r="AB121" s="240"/>
      <c r="AC121" s="240"/>
      <c r="AD121" s="240"/>
      <c r="AE121" s="240"/>
      <c r="AF121" s="240"/>
      <c r="AG121" s="240"/>
      <c r="AH121" s="240"/>
      <c r="AI121" s="240"/>
      <c r="AJ121" s="240"/>
      <c r="AK121" s="240"/>
      <c r="AL121" s="240"/>
      <c r="AM121" s="240"/>
      <c r="AN121" s="240"/>
      <c r="AO121" s="240"/>
      <c r="AP121" s="240"/>
      <c r="AQ121" s="240"/>
      <c r="AR121" s="240"/>
      <c r="AS121" s="240"/>
      <c r="AT121" s="240"/>
      <c r="AU121" s="240"/>
      <c r="AV121" s="240"/>
      <c r="AW121" s="240"/>
      <c r="AX121" s="240"/>
      <c r="AY121" s="240"/>
      <c r="AZ121" s="240"/>
      <c r="BA121" s="240"/>
      <c r="BB121" s="240"/>
      <c r="BC121" s="240"/>
      <c r="BD121" s="240"/>
      <c r="BE121" s="240"/>
      <c r="BF121" s="240"/>
      <c r="BG121" s="240"/>
      <c r="BH121" s="240"/>
    </row>
    <row r="122" spans="2:60">
      <c r="B122" s="69">
        <f>'OPG hydro peers'!B13</f>
        <v>1</v>
      </c>
      <c r="C122" s="69">
        <f t="shared" si="94"/>
        <v>9</v>
      </c>
      <c r="D122" s="69" t="str">
        <f>'OPG hydro peers'!D13</f>
        <v>Avista</v>
      </c>
      <c r="E122" s="70">
        <v>2002</v>
      </c>
      <c r="F122" s="388">
        <v>879.3</v>
      </c>
      <c r="G122" s="76">
        <f t="shared" ref="G122:G134" si="130">M122/(F122*8760)</f>
        <v>0.52055171013472212</v>
      </c>
      <c r="H122" s="71"/>
      <c r="I122" s="71"/>
      <c r="J122" s="388">
        <v>8928.7692599999991</v>
      </c>
      <c r="K122" s="76">
        <f>J122/$J$239</f>
        <v>1.2544539137783986E-2</v>
      </c>
      <c r="L122" s="76"/>
      <c r="M122" s="388">
        <v>4009637</v>
      </c>
      <c r="N122" s="388">
        <v>104807.06617949699</v>
      </c>
      <c r="O122" s="71">
        <f t="shared" ref="O122:O132" si="131">N122-J122</f>
        <v>95878.296919496992</v>
      </c>
      <c r="P122" s="76">
        <f>O122/N122</f>
        <v>0.9148075641702611</v>
      </c>
      <c r="Q122" s="76">
        <f>1-P122</f>
        <v>8.5192435829738899E-2</v>
      </c>
      <c r="R122" s="126">
        <f t="shared" ref="R122:R132" si="132">Q122*L122</f>
        <v>0</v>
      </c>
      <c r="S122" s="126">
        <f>Q122-R122</f>
        <v>8.5192435829738899E-2</v>
      </c>
      <c r="T122" s="126">
        <f>R122-S122</f>
        <v>-8.5192435829738899E-2</v>
      </c>
      <c r="U122" s="240"/>
      <c r="V122" s="240"/>
      <c r="W122" s="240"/>
      <c r="X122" s="240"/>
      <c r="Y122" s="240"/>
      <c r="Z122" s="240"/>
      <c r="AA122" s="240"/>
      <c r="AB122" s="240"/>
      <c r="AC122" s="240"/>
      <c r="AD122" s="240"/>
      <c r="AE122" s="240"/>
      <c r="AF122" s="240"/>
      <c r="AG122" s="240"/>
      <c r="AH122" s="240"/>
      <c r="AI122" s="240"/>
      <c r="AJ122" s="240"/>
      <c r="AK122" s="240"/>
      <c r="AL122" s="240"/>
      <c r="AM122" s="240"/>
      <c r="AN122" s="240"/>
      <c r="AO122" s="240"/>
      <c r="AP122" s="240"/>
      <c r="AQ122" s="240"/>
      <c r="AR122" s="240"/>
      <c r="AS122" s="240"/>
      <c r="AT122" s="240"/>
      <c r="AU122" s="240"/>
      <c r="AV122" s="240"/>
      <c r="AW122" s="240"/>
      <c r="AX122" s="240"/>
      <c r="AY122" s="240"/>
      <c r="AZ122" s="240"/>
      <c r="BA122" s="240"/>
      <c r="BB122" s="240"/>
      <c r="BC122" s="240"/>
      <c r="BD122" s="240"/>
      <c r="BE122" s="240"/>
      <c r="BF122" s="240"/>
      <c r="BG122" s="240"/>
      <c r="BH122" s="240"/>
    </row>
    <row r="123" spans="2:60">
      <c r="B123" s="69">
        <f t="shared" ref="B123:B134" si="133">B122</f>
        <v>1</v>
      </c>
      <c r="C123" s="69">
        <f t="shared" si="94"/>
        <v>9</v>
      </c>
      <c r="D123" s="69" t="str">
        <f t="shared" ref="D123:D130" si="134">D122</f>
        <v>Avista</v>
      </c>
      <c r="E123" s="70">
        <v>2003</v>
      </c>
      <c r="F123" s="388">
        <v>879.3</v>
      </c>
      <c r="G123" s="76">
        <f t="shared" si="130"/>
        <v>0.45953051591993838</v>
      </c>
      <c r="H123" s="71"/>
      <c r="I123" s="71"/>
      <c r="J123" s="388">
        <v>12271.156499999999</v>
      </c>
      <c r="K123" s="76">
        <f>J123/$J$240</f>
        <v>1.5400444361682987E-2</v>
      </c>
      <c r="L123" s="76"/>
      <c r="M123" s="388">
        <v>3539611</v>
      </c>
      <c r="N123" s="388">
        <v>168771.85214258402</v>
      </c>
      <c r="O123" s="71">
        <f t="shared" si="131"/>
        <v>156500.695642584</v>
      </c>
      <c r="P123" s="76">
        <f t="shared" ref="P123:P132" si="135">O123/N123</f>
        <v>0.92729145088937615</v>
      </c>
      <c r="Q123" s="76">
        <f t="shared" ref="Q123:Q132" si="136">1-P123</f>
        <v>7.2708549110623855E-2</v>
      </c>
      <c r="R123" s="126">
        <f t="shared" si="132"/>
        <v>0</v>
      </c>
      <c r="S123" s="126">
        <f t="shared" ref="S123:T132" si="137">Q123-R123</f>
        <v>7.2708549110623855E-2</v>
      </c>
      <c r="T123" s="126">
        <f t="shared" si="137"/>
        <v>-7.2708549110623855E-2</v>
      </c>
      <c r="U123" s="240"/>
      <c r="V123" s="240"/>
      <c r="W123" s="240"/>
      <c r="X123" s="240"/>
      <c r="Y123" s="240"/>
      <c r="Z123" s="240"/>
      <c r="AA123" s="240"/>
      <c r="AB123" s="240"/>
      <c r="AC123" s="240"/>
      <c r="AD123" s="240"/>
      <c r="AE123" s="240"/>
      <c r="AF123" s="240"/>
      <c r="AG123" s="240"/>
      <c r="AH123" s="240"/>
      <c r="AI123" s="240"/>
      <c r="AJ123" s="240"/>
      <c r="AK123" s="240"/>
      <c r="AL123" s="240"/>
      <c r="AM123" s="240"/>
      <c r="AN123" s="240"/>
      <c r="AO123" s="240"/>
      <c r="AP123" s="240"/>
      <c r="AQ123" s="240"/>
      <c r="AR123" s="240"/>
      <c r="AS123" s="240"/>
      <c r="AT123" s="240"/>
      <c r="AU123" s="240"/>
      <c r="AV123" s="240"/>
      <c r="AW123" s="240"/>
      <c r="AX123" s="240"/>
      <c r="AY123" s="240"/>
      <c r="AZ123" s="240"/>
      <c r="BA123" s="240"/>
      <c r="BB123" s="240"/>
      <c r="BC123" s="240"/>
      <c r="BD123" s="240"/>
      <c r="BE123" s="240"/>
      <c r="BF123" s="240"/>
      <c r="BG123" s="240"/>
      <c r="BH123" s="240"/>
    </row>
    <row r="124" spans="2:60">
      <c r="B124" s="69">
        <f t="shared" si="133"/>
        <v>1</v>
      </c>
      <c r="C124" s="69">
        <f t="shared" si="94"/>
        <v>9</v>
      </c>
      <c r="D124" s="69" t="str">
        <f t="shared" si="134"/>
        <v>Avista</v>
      </c>
      <c r="E124" s="70">
        <v>2004</v>
      </c>
      <c r="F124" s="388">
        <v>879.3</v>
      </c>
      <c r="G124" s="76">
        <f t="shared" si="130"/>
        <v>0.49191306181182937</v>
      </c>
      <c r="H124" s="71"/>
      <c r="I124" s="71"/>
      <c r="J124" s="388">
        <v>13244.60925</v>
      </c>
      <c r="K124" s="76">
        <f>J124/$J$241</f>
        <v>1.612600250344802E-2</v>
      </c>
      <c r="L124" s="76"/>
      <c r="M124" s="388">
        <v>3789043</v>
      </c>
      <c r="N124" s="388">
        <v>203384.96039113982</v>
      </c>
      <c r="O124" s="71">
        <f t="shared" si="131"/>
        <v>190140.35114113981</v>
      </c>
      <c r="P124" s="76">
        <f t="shared" si="135"/>
        <v>0.93487911188453343</v>
      </c>
      <c r="Q124" s="76">
        <f t="shared" si="136"/>
        <v>6.5120888115466569E-2</v>
      </c>
      <c r="R124" s="126">
        <f t="shared" si="132"/>
        <v>0</v>
      </c>
      <c r="S124" s="126">
        <f t="shared" si="137"/>
        <v>6.5120888115466569E-2</v>
      </c>
      <c r="T124" s="126">
        <f t="shared" si="137"/>
        <v>-6.5120888115466569E-2</v>
      </c>
      <c r="U124" s="240"/>
      <c r="V124" s="240"/>
      <c r="W124" s="240"/>
      <c r="X124" s="240"/>
      <c r="Y124" s="240"/>
      <c r="Z124" s="240"/>
      <c r="AA124" s="240"/>
      <c r="AB124" s="240"/>
      <c r="AC124" s="240"/>
      <c r="AD124" s="240"/>
      <c r="AE124" s="240"/>
      <c r="AF124" s="240"/>
      <c r="AG124" s="240"/>
      <c r="AH124" s="240"/>
      <c r="AI124" s="240"/>
      <c r="AJ124" s="240"/>
      <c r="AK124" s="240"/>
      <c r="AL124" s="240"/>
      <c r="AM124" s="240"/>
      <c r="AN124" s="240"/>
      <c r="AO124" s="240"/>
      <c r="AP124" s="240"/>
      <c r="AQ124" s="240"/>
      <c r="AR124" s="240"/>
      <c r="AS124" s="240"/>
      <c r="AT124" s="240"/>
      <c r="AU124" s="240"/>
      <c r="AV124" s="240"/>
      <c r="AW124" s="240"/>
      <c r="AX124" s="240"/>
      <c r="AY124" s="240"/>
      <c r="AZ124" s="240"/>
      <c r="BA124" s="240"/>
      <c r="BB124" s="240"/>
      <c r="BC124" s="240"/>
      <c r="BD124" s="240"/>
      <c r="BE124" s="240"/>
      <c r="BF124" s="240"/>
      <c r="BG124" s="240"/>
      <c r="BH124" s="240"/>
    </row>
    <row r="125" spans="2:60">
      <c r="B125" s="69">
        <f t="shared" si="133"/>
        <v>1</v>
      </c>
      <c r="C125" s="69">
        <f t="shared" si="94"/>
        <v>9</v>
      </c>
      <c r="D125" s="69" t="str">
        <f t="shared" si="134"/>
        <v>Avista</v>
      </c>
      <c r="E125" s="70">
        <v>2005</v>
      </c>
      <c r="F125" s="388">
        <v>899.2</v>
      </c>
      <c r="G125" s="76">
        <f t="shared" si="130"/>
        <v>0.45840125266091419</v>
      </c>
      <c r="H125" s="71"/>
      <c r="I125" s="71"/>
      <c r="J125" s="388">
        <v>11327.26065</v>
      </c>
      <c r="K125" s="76">
        <f>J125/$J$242</f>
        <v>1.3059674191592091E-2</v>
      </c>
      <c r="L125" s="76"/>
      <c r="M125" s="388">
        <v>3610823</v>
      </c>
      <c r="N125" s="388">
        <v>251921.13086660273</v>
      </c>
      <c r="O125" s="71">
        <f t="shared" si="131"/>
        <v>240593.87021660272</v>
      </c>
      <c r="P125" s="76">
        <f t="shared" si="135"/>
        <v>0.9550364806198095</v>
      </c>
      <c r="Q125" s="76">
        <f t="shared" si="136"/>
        <v>4.4963519380190498E-2</v>
      </c>
      <c r="R125" s="126">
        <f t="shared" si="132"/>
        <v>0</v>
      </c>
      <c r="S125" s="126">
        <f t="shared" si="137"/>
        <v>4.4963519380190498E-2</v>
      </c>
      <c r="T125" s="126">
        <f t="shared" si="137"/>
        <v>-4.4963519380190498E-2</v>
      </c>
      <c r="U125" s="240"/>
      <c r="V125" s="240"/>
      <c r="W125" s="240"/>
      <c r="X125" s="240"/>
      <c r="Y125" s="240"/>
      <c r="Z125" s="240"/>
      <c r="AA125" s="240"/>
      <c r="AB125" s="240"/>
      <c r="AC125" s="240"/>
      <c r="AD125" s="240"/>
      <c r="AE125" s="240"/>
      <c r="AF125" s="240"/>
      <c r="AG125" s="240"/>
      <c r="AH125" s="240"/>
      <c r="AI125" s="240"/>
      <c r="AJ125" s="240"/>
      <c r="AK125" s="240"/>
      <c r="AL125" s="240"/>
      <c r="AM125" s="240"/>
      <c r="AN125" s="240"/>
      <c r="AO125" s="240"/>
      <c r="AP125" s="240"/>
      <c r="AQ125" s="240"/>
      <c r="AR125" s="240"/>
      <c r="AS125" s="240"/>
      <c r="AT125" s="240"/>
      <c r="AU125" s="240"/>
      <c r="AV125" s="240"/>
      <c r="AW125" s="240"/>
      <c r="AX125" s="240"/>
      <c r="AY125" s="240"/>
      <c r="AZ125" s="240"/>
      <c r="BA125" s="240"/>
      <c r="BB125" s="240"/>
      <c r="BC125" s="240"/>
      <c r="BD125" s="240"/>
      <c r="BE125" s="240"/>
      <c r="BF125" s="240"/>
      <c r="BG125" s="240"/>
      <c r="BH125" s="240"/>
    </row>
    <row r="126" spans="2:60">
      <c r="B126" s="69">
        <f t="shared" si="133"/>
        <v>1</v>
      </c>
      <c r="C126" s="69">
        <f t="shared" si="94"/>
        <v>9</v>
      </c>
      <c r="D126" s="69" t="str">
        <f t="shared" si="134"/>
        <v>Avista</v>
      </c>
      <c r="E126" s="70">
        <v>2006</v>
      </c>
      <c r="F126" s="388">
        <v>906.55</v>
      </c>
      <c r="G126" s="76">
        <f t="shared" si="130"/>
        <v>0.51976772796862203</v>
      </c>
      <c r="H126" s="71"/>
      <c r="I126" s="71"/>
      <c r="J126" s="388">
        <v>12126.034950000001</v>
      </c>
      <c r="K126" s="76">
        <f>J126/$J$243</f>
        <v>1.3276001114188802E-2</v>
      </c>
      <c r="L126" s="76"/>
      <c r="M126" s="388">
        <v>4127672</v>
      </c>
      <c r="N126" s="388">
        <v>230650.79512184908</v>
      </c>
      <c r="O126" s="71">
        <f t="shared" si="131"/>
        <v>218524.76017184908</v>
      </c>
      <c r="P126" s="76">
        <f t="shared" si="135"/>
        <v>0.94742686690677125</v>
      </c>
      <c r="Q126" s="76">
        <f t="shared" si="136"/>
        <v>5.2573133093228752E-2</v>
      </c>
      <c r="R126" s="126">
        <f t="shared" si="132"/>
        <v>0</v>
      </c>
      <c r="S126" s="126">
        <f t="shared" si="137"/>
        <v>5.2573133093228752E-2</v>
      </c>
      <c r="T126" s="126">
        <f t="shared" si="137"/>
        <v>-5.2573133093228752E-2</v>
      </c>
      <c r="U126" s="240"/>
      <c r="V126" s="240"/>
      <c r="W126" s="240"/>
      <c r="X126" s="240"/>
      <c r="Y126" s="240"/>
      <c r="Z126" s="240"/>
      <c r="AA126" s="240"/>
      <c r="AB126" s="240"/>
      <c r="AC126" s="240"/>
      <c r="AD126" s="240"/>
      <c r="AE126" s="240"/>
      <c r="AF126" s="240"/>
      <c r="AG126" s="240"/>
      <c r="AH126" s="240"/>
      <c r="AI126" s="240"/>
      <c r="AJ126" s="240"/>
      <c r="AK126" s="240"/>
      <c r="AL126" s="240"/>
      <c r="AM126" s="240"/>
      <c r="AN126" s="240"/>
      <c r="AO126" s="240"/>
      <c r="AP126" s="240"/>
      <c r="AQ126" s="240"/>
      <c r="AR126" s="240"/>
      <c r="AS126" s="240"/>
      <c r="AT126" s="240"/>
      <c r="AU126" s="240"/>
      <c r="AV126" s="240"/>
      <c r="AW126" s="240"/>
      <c r="AX126" s="240"/>
      <c r="AY126" s="240"/>
      <c r="AZ126" s="240"/>
      <c r="BA126" s="240"/>
      <c r="BB126" s="240"/>
      <c r="BC126" s="240"/>
      <c r="BD126" s="240"/>
      <c r="BE126" s="240"/>
      <c r="BF126" s="240"/>
      <c r="BG126" s="240"/>
      <c r="BH126" s="240"/>
    </row>
    <row r="127" spans="2:60">
      <c r="B127" s="69">
        <f t="shared" si="133"/>
        <v>1</v>
      </c>
      <c r="C127" s="69">
        <f t="shared" si="94"/>
        <v>9</v>
      </c>
      <c r="D127" s="69" t="str">
        <f t="shared" si="134"/>
        <v>Avista</v>
      </c>
      <c r="E127" s="70">
        <v>2007</v>
      </c>
      <c r="F127" s="388">
        <v>906.55</v>
      </c>
      <c r="G127" s="76">
        <f t="shared" si="130"/>
        <v>0.46450263417759485</v>
      </c>
      <c r="H127" s="71"/>
      <c r="I127" s="71"/>
      <c r="J127" s="388">
        <v>12602.87766</v>
      </c>
      <c r="K127" s="76">
        <f>J127/$J$244</f>
        <v>1.2669567673019119E-2</v>
      </c>
      <c r="L127" s="76"/>
      <c r="M127" s="388">
        <v>3688791</v>
      </c>
      <c r="N127" s="388">
        <v>243127.87286561809</v>
      </c>
      <c r="O127" s="71">
        <f t="shared" si="131"/>
        <v>230524.99520561809</v>
      </c>
      <c r="P127" s="76">
        <f t="shared" si="135"/>
        <v>0.94816358358481645</v>
      </c>
      <c r="Q127" s="76">
        <f t="shared" si="136"/>
        <v>5.183641641518355E-2</v>
      </c>
      <c r="R127" s="126">
        <f t="shared" si="132"/>
        <v>0</v>
      </c>
      <c r="S127" s="126">
        <f t="shared" si="137"/>
        <v>5.183641641518355E-2</v>
      </c>
      <c r="T127" s="126">
        <f t="shared" si="137"/>
        <v>-5.183641641518355E-2</v>
      </c>
      <c r="U127" s="240"/>
      <c r="V127" s="240"/>
      <c r="W127" s="240"/>
      <c r="X127" s="240"/>
      <c r="Y127" s="240"/>
      <c r="Z127" s="240"/>
      <c r="AA127" s="240"/>
      <c r="AB127" s="240"/>
      <c r="AC127" s="240"/>
      <c r="AD127" s="240"/>
      <c r="AE127" s="240"/>
      <c r="AF127" s="240"/>
      <c r="AG127" s="240"/>
      <c r="AH127" s="240"/>
      <c r="AI127" s="240"/>
      <c r="AJ127" s="240"/>
      <c r="AK127" s="240"/>
      <c r="AL127" s="240"/>
      <c r="AM127" s="240"/>
      <c r="AN127" s="240"/>
      <c r="AO127" s="240"/>
      <c r="AP127" s="240"/>
      <c r="AQ127" s="240"/>
      <c r="AR127" s="240"/>
      <c r="AS127" s="240"/>
      <c r="AT127" s="240"/>
      <c r="AU127" s="240"/>
      <c r="AV127" s="240"/>
      <c r="AW127" s="240"/>
      <c r="AX127" s="240"/>
      <c r="AY127" s="240"/>
      <c r="AZ127" s="240"/>
      <c r="BA127" s="240"/>
      <c r="BB127" s="240"/>
      <c r="BC127" s="240"/>
      <c r="BD127" s="240"/>
      <c r="BE127" s="240"/>
      <c r="BF127" s="240"/>
      <c r="BG127" s="240"/>
      <c r="BH127" s="240"/>
    </row>
    <row r="128" spans="2:60">
      <c r="B128" s="69">
        <f t="shared" si="133"/>
        <v>1</v>
      </c>
      <c r="C128" s="69">
        <f t="shared" si="94"/>
        <v>9</v>
      </c>
      <c r="D128" s="69" t="str">
        <f t="shared" si="134"/>
        <v>Avista</v>
      </c>
      <c r="E128" s="70">
        <v>2008</v>
      </c>
      <c r="F128" s="388">
        <v>913.6</v>
      </c>
      <c r="G128" s="76">
        <f t="shared" si="130"/>
        <v>0.48121773764684245</v>
      </c>
      <c r="H128" s="71"/>
      <c r="I128" s="71"/>
      <c r="J128" s="388">
        <v>11931.757680000001</v>
      </c>
      <c r="K128" s="76">
        <f>J128/$J$245</f>
        <v>1.1012205747880047E-2</v>
      </c>
      <c r="L128" s="76"/>
      <c r="M128" s="388">
        <v>3851251</v>
      </c>
      <c r="N128" s="388">
        <v>289635.18281362311</v>
      </c>
      <c r="O128" s="71">
        <f t="shared" si="131"/>
        <v>277703.42513362312</v>
      </c>
      <c r="P128" s="76">
        <f t="shared" si="135"/>
        <v>0.95880418406323953</v>
      </c>
      <c r="Q128" s="76">
        <f t="shared" si="136"/>
        <v>4.1195815936760471E-2</v>
      </c>
      <c r="R128" s="126">
        <f t="shared" si="132"/>
        <v>0</v>
      </c>
      <c r="S128" s="126">
        <f t="shared" si="137"/>
        <v>4.1195815936760471E-2</v>
      </c>
      <c r="T128" s="126">
        <f t="shared" si="137"/>
        <v>-4.1195815936760471E-2</v>
      </c>
      <c r="U128" s="240"/>
      <c r="V128" s="240"/>
      <c r="W128" s="240"/>
      <c r="X128" s="240"/>
      <c r="Y128" s="240"/>
      <c r="Z128" s="240"/>
      <c r="AA128" s="240"/>
      <c r="AB128" s="240"/>
      <c r="AC128" s="240"/>
      <c r="AD128" s="240"/>
      <c r="AE128" s="240"/>
      <c r="AF128" s="240"/>
      <c r="AG128" s="240"/>
      <c r="AH128" s="240"/>
      <c r="AI128" s="240"/>
      <c r="AJ128" s="240"/>
      <c r="AK128" s="240"/>
      <c r="AL128" s="240"/>
      <c r="AM128" s="240"/>
      <c r="AN128" s="240"/>
      <c r="AO128" s="240"/>
      <c r="AP128" s="240"/>
      <c r="AQ128" s="240"/>
      <c r="AR128" s="240"/>
      <c r="AS128" s="240"/>
      <c r="AT128" s="240"/>
      <c r="AU128" s="240"/>
      <c r="AV128" s="240"/>
      <c r="AW128" s="240"/>
      <c r="AX128" s="240"/>
      <c r="AY128" s="240"/>
      <c r="AZ128" s="240"/>
      <c r="BA128" s="240"/>
      <c r="BB128" s="240"/>
      <c r="BC128" s="240"/>
      <c r="BD128" s="240"/>
      <c r="BE128" s="240"/>
      <c r="BF128" s="240"/>
      <c r="BG128" s="240"/>
      <c r="BH128" s="240"/>
    </row>
    <row r="129" spans="2:60">
      <c r="B129" s="69">
        <f t="shared" si="133"/>
        <v>1</v>
      </c>
      <c r="C129" s="69">
        <f t="shared" si="94"/>
        <v>9</v>
      </c>
      <c r="D129" s="69" t="str">
        <f t="shared" si="134"/>
        <v>Avista</v>
      </c>
      <c r="E129" s="70">
        <v>2009</v>
      </c>
      <c r="F129" s="388">
        <v>913.6</v>
      </c>
      <c r="G129" s="76">
        <f t="shared" si="130"/>
        <v>0.47053567501539395</v>
      </c>
      <c r="H129" s="71"/>
      <c r="I129" s="71"/>
      <c r="J129" s="388">
        <v>14020.81551</v>
      </c>
      <c r="K129" s="76">
        <f>J129/$J$246</f>
        <v>1.3062460412521614E-2</v>
      </c>
      <c r="L129" s="76"/>
      <c r="M129" s="388">
        <v>3765761</v>
      </c>
      <c r="N129" s="388">
        <v>147856.18768055557</v>
      </c>
      <c r="O129" s="71">
        <f t="shared" si="131"/>
        <v>133835.37217055558</v>
      </c>
      <c r="P129" s="76">
        <f t="shared" si="135"/>
        <v>0.90517261583741038</v>
      </c>
      <c r="Q129" s="76">
        <f t="shared" si="136"/>
        <v>9.4827384162589623E-2</v>
      </c>
      <c r="R129" s="126">
        <f t="shared" si="132"/>
        <v>0</v>
      </c>
      <c r="S129" s="126">
        <f t="shared" si="137"/>
        <v>9.4827384162589623E-2</v>
      </c>
      <c r="T129" s="126">
        <f t="shared" si="137"/>
        <v>-9.4827384162589623E-2</v>
      </c>
      <c r="U129" s="240"/>
      <c r="V129" s="240"/>
      <c r="W129" s="240"/>
      <c r="X129" s="240"/>
      <c r="Y129" s="240"/>
      <c r="Z129" s="240"/>
      <c r="AA129" s="240"/>
      <c r="AB129" s="240"/>
      <c r="AC129" s="240"/>
      <c r="AD129" s="240"/>
      <c r="AE129" s="240"/>
      <c r="AF129" s="240"/>
      <c r="AG129" s="240"/>
      <c r="AH129" s="240"/>
      <c r="AI129" s="240"/>
      <c r="AJ129" s="240"/>
      <c r="AK129" s="240"/>
      <c r="AL129" s="240"/>
      <c r="AM129" s="240"/>
      <c r="AN129" s="240"/>
      <c r="AO129" s="240"/>
      <c r="AP129" s="240"/>
      <c r="AQ129" s="240"/>
      <c r="AR129" s="240"/>
      <c r="AS129" s="240"/>
      <c r="AT129" s="240"/>
      <c r="AU129" s="240"/>
      <c r="AV129" s="240"/>
      <c r="AW129" s="240"/>
      <c r="AX129" s="240"/>
      <c r="AY129" s="240"/>
      <c r="AZ129" s="240"/>
      <c r="BA129" s="240"/>
      <c r="BB129" s="240"/>
      <c r="BC129" s="240"/>
      <c r="BD129" s="240"/>
      <c r="BE129" s="240"/>
      <c r="BF129" s="240"/>
      <c r="BG129" s="240"/>
      <c r="BH129" s="240"/>
    </row>
    <row r="130" spans="2:60">
      <c r="B130" s="69">
        <f t="shared" si="133"/>
        <v>1</v>
      </c>
      <c r="C130" s="69">
        <f t="shared" ref="C130:C166" si="138">IF(D130=D129,C129,C129+1)</f>
        <v>9</v>
      </c>
      <c r="D130" s="69" t="str">
        <f t="shared" si="134"/>
        <v>Avista</v>
      </c>
      <c r="E130" s="70">
        <v>2010</v>
      </c>
      <c r="F130" s="388">
        <v>913.8</v>
      </c>
      <c r="G130" s="76">
        <f t="shared" si="130"/>
        <v>0.43643184014567099</v>
      </c>
      <c r="H130" s="71"/>
      <c r="I130" s="71"/>
      <c r="J130" s="388">
        <v>13328.143469999999</v>
      </c>
      <c r="K130" s="76">
        <f>J130/$J$247</f>
        <v>1.156181160619814E-2</v>
      </c>
      <c r="L130" s="76"/>
      <c r="M130" s="388">
        <v>3493588</v>
      </c>
      <c r="N130" s="388">
        <v>141590.35549182122</v>
      </c>
      <c r="O130" s="71">
        <f t="shared" si="131"/>
        <v>128262.21202182122</v>
      </c>
      <c r="P130" s="76">
        <f t="shared" si="135"/>
        <v>0.90586828160926625</v>
      </c>
      <c r="Q130" s="76">
        <f t="shared" si="136"/>
        <v>9.4131718390733754E-2</v>
      </c>
      <c r="R130" s="126">
        <f t="shared" si="132"/>
        <v>0</v>
      </c>
      <c r="S130" s="126">
        <f t="shared" si="137"/>
        <v>9.4131718390733754E-2</v>
      </c>
      <c r="T130" s="126">
        <f t="shared" si="137"/>
        <v>-9.4131718390733754E-2</v>
      </c>
      <c r="U130" s="240"/>
      <c r="V130" s="240"/>
      <c r="W130" s="240"/>
      <c r="X130" s="240"/>
      <c r="Y130" s="240"/>
      <c r="Z130" s="240"/>
      <c r="AA130" s="240"/>
      <c r="AB130" s="240"/>
      <c r="AC130" s="240"/>
      <c r="AD130" s="240"/>
      <c r="AE130" s="240"/>
      <c r="AF130" s="240"/>
      <c r="AG130" s="240"/>
      <c r="AH130" s="240"/>
      <c r="AI130" s="240"/>
      <c r="AJ130" s="240"/>
      <c r="AK130" s="240"/>
      <c r="AL130" s="240"/>
      <c r="AM130" s="240"/>
      <c r="AN130" s="240"/>
      <c r="AO130" s="240"/>
      <c r="AP130" s="240"/>
      <c r="AQ130" s="240"/>
      <c r="AR130" s="240"/>
      <c r="AS130" s="240"/>
      <c r="AT130" s="240"/>
      <c r="AU130" s="240"/>
      <c r="AV130" s="240"/>
      <c r="AW130" s="240"/>
      <c r="AX130" s="240"/>
      <c r="AY130" s="240"/>
      <c r="AZ130" s="240"/>
      <c r="BA130" s="240"/>
      <c r="BB130" s="240"/>
      <c r="BC130" s="240"/>
      <c r="BD130" s="240"/>
      <c r="BE130" s="240"/>
      <c r="BF130" s="240"/>
      <c r="BG130" s="240"/>
      <c r="BH130" s="240"/>
    </row>
    <row r="131" spans="2:60">
      <c r="B131" s="69">
        <f t="shared" si="133"/>
        <v>1</v>
      </c>
      <c r="C131" s="69">
        <f t="shared" si="138"/>
        <v>9</v>
      </c>
      <c r="D131" s="69" t="str">
        <f t="shared" ref="D131:D134" si="139">D130</f>
        <v>Avista</v>
      </c>
      <c r="E131" s="70">
        <v>2011</v>
      </c>
      <c r="F131" s="388">
        <v>913.6</v>
      </c>
      <c r="G131" s="76">
        <f t="shared" si="130"/>
        <v>0.56656453170357224</v>
      </c>
      <c r="H131" s="71"/>
      <c r="I131" s="71"/>
      <c r="J131" s="388">
        <v>16273.347719999996</v>
      </c>
      <c r="K131" s="76">
        <f>J131/$J$248</f>
        <v>1.414513319950462E-2</v>
      </c>
      <c r="L131" s="76"/>
      <c r="M131" s="388">
        <v>4534293</v>
      </c>
      <c r="N131" s="388">
        <v>153924.95643685196</v>
      </c>
      <c r="O131" s="71">
        <f t="shared" si="131"/>
        <v>137651.60871685197</v>
      </c>
      <c r="P131" s="76">
        <f t="shared" si="135"/>
        <v>0.8942773927197688</v>
      </c>
      <c r="Q131" s="76">
        <f t="shared" si="136"/>
        <v>0.1057226072802312</v>
      </c>
      <c r="R131" s="126">
        <f t="shared" si="132"/>
        <v>0</v>
      </c>
      <c r="S131" s="126">
        <f t="shared" si="137"/>
        <v>0.1057226072802312</v>
      </c>
      <c r="T131" s="126">
        <f t="shared" si="137"/>
        <v>-0.1057226072802312</v>
      </c>
      <c r="U131" s="240"/>
      <c r="V131" s="240"/>
      <c r="W131" s="240"/>
      <c r="X131" s="240"/>
      <c r="Y131" s="240"/>
      <c r="Z131" s="240"/>
      <c r="AA131" s="240"/>
      <c r="AB131" s="240"/>
      <c r="AC131" s="240"/>
      <c r="AD131" s="240"/>
      <c r="AE131" s="240"/>
      <c r="AF131" s="240"/>
      <c r="AG131" s="240"/>
      <c r="AH131" s="240"/>
      <c r="AI131" s="240"/>
      <c r="AJ131" s="240"/>
      <c r="AK131" s="240"/>
      <c r="AL131" s="240"/>
      <c r="AM131" s="240"/>
      <c r="AN131" s="240"/>
      <c r="AO131" s="240"/>
      <c r="AP131" s="240"/>
      <c r="AQ131" s="240"/>
      <c r="AR131" s="240"/>
      <c r="AS131" s="240"/>
      <c r="AT131" s="240"/>
      <c r="AU131" s="240"/>
      <c r="AV131" s="240"/>
      <c r="AW131" s="240"/>
      <c r="AX131" s="240"/>
      <c r="AY131" s="240"/>
      <c r="AZ131" s="240"/>
      <c r="BA131" s="240"/>
      <c r="BB131" s="240"/>
      <c r="BC131" s="240"/>
      <c r="BD131" s="240"/>
      <c r="BE131" s="240"/>
      <c r="BF131" s="240"/>
      <c r="BG131" s="240"/>
      <c r="BH131" s="240"/>
    </row>
    <row r="132" spans="2:60">
      <c r="B132" s="69">
        <f t="shared" si="133"/>
        <v>1</v>
      </c>
      <c r="C132" s="69">
        <f t="shared" si="138"/>
        <v>9</v>
      </c>
      <c r="D132" s="69" t="str">
        <f t="shared" si="139"/>
        <v>Avista</v>
      </c>
      <c r="E132" s="70">
        <v>2012</v>
      </c>
      <c r="F132" s="388">
        <v>913.6</v>
      </c>
      <c r="G132" s="76">
        <f t="shared" si="130"/>
        <v>0.51083587733608427</v>
      </c>
      <c r="H132" s="71"/>
      <c r="I132" s="71"/>
      <c r="J132" s="388">
        <v>15768.17073</v>
      </c>
      <c r="K132" s="76">
        <f>J132/$J$249</f>
        <v>1.3286107555628911E-2</v>
      </c>
      <c r="L132" s="76"/>
      <c r="M132" s="388">
        <v>4088289</v>
      </c>
      <c r="N132" s="388">
        <v>98866.614621880741</v>
      </c>
      <c r="O132" s="71">
        <f t="shared" si="131"/>
        <v>83098.443891880743</v>
      </c>
      <c r="P132" s="76">
        <f t="shared" si="135"/>
        <v>0.84051066388481099</v>
      </c>
      <c r="Q132" s="76">
        <f t="shared" si="136"/>
        <v>0.15948933611518901</v>
      </c>
      <c r="R132" s="126">
        <f t="shared" si="132"/>
        <v>0</v>
      </c>
      <c r="S132" s="126">
        <f t="shared" si="137"/>
        <v>0.15948933611518901</v>
      </c>
      <c r="T132" s="126">
        <f t="shared" si="137"/>
        <v>-0.15948933611518901</v>
      </c>
      <c r="U132" s="240"/>
      <c r="V132" s="240"/>
      <c r="W132" s="240"/>
      <c r="X132" s="240"/>
      <c r="Y132" s="240"/>
      <c r="Z132" s="240"/>
      <c r="AA132" s="240"/>
      <c r="AB132" s="240"/>
      <c r="AC132" s="240"/>
      <c r="AD132" s="240"/>
      <c r="AE132" s="240"/>
      <c r="AF132" s="240"/>
      <c r="AG132" s="240"/>
      <c r="AH132" s="240"/>
      <c r="AI132" s="240"/>
      <c r="AJ132" s="240"/>
      <c r="AK132" s="240"/>
      <c r="AL132" s="240"/>
      <c r="AM132" s="240"/>
      <c r="AN132" s="240"/>
      <c r="AO132" s="240"/>
      <c r="AP132" s="240"/>
      <c r="AQ132" s="240"/>
      <c r="AR132" s="240"/>
      <c r="AS132" s="240"/>
      <c r="AT132" s="240"/>
      <c r="AU132" s="240"/>
      <c r="AV132" s="240"/>
      <c r="AW132" s="240"/>
      <c r="AX132" s="240"/>
      <c r="AY132" s="240"/>
      <c r="AZ132" s="240"/>
      <c r="BA132" s="240"/>
      <c r="BB132" s="240"/>
      <c r="BC132" s="240"/>
      <c r="BD132" s="240"/>
      <c r="BE132" s="240"/>
      <c r="BF132" s="240"/>
      <c r="BG132" s="240"/>
      <c r="BH132" s="240"/>
    </row>
    <row r="133" spans="2:60">
      <c r="B133" s="69">
        <f t="shared" si="133"/>
        <v>1</v>
      </c>
      <c r="C133" s="69">
        <f t="shared" si="138"/>
        <v>9</v>
      </c>
      <c r="D133" s="69" t="str">
        <f t="shared" si="139"/>
        <v>Avista</v>
      </c>
      <c r="E133" s="70">
        <v>2013</v>
      </c>
      <c r="F133" s="388">
        <v>920.8</v>
      </c>
      <c r="G133" s="76">
        <f t="shared" si="130"/>
        <v>0.45198834446123881</v>
      </c>
      <c r="H133" s="69"/>
      <c r="I133" s="69"/>
      <c r="J133" s="388">
        <v>18703.015920000002</v>
      </c>
      <c r="K133" s="76">
        <f>J133/$J$250</f>
        <v>1.5939653836793695E-2</v>
      </c>
      <c r="L133" s="69"/>
      <c r="M133" s="388">
        <v>3645832</v>
      </c>
      <c r="N133" s="388">
        <v>159385.21893750963</v>
      </c>
      <c r="O133" s="71">
        <f t="shared" ref="O133:O134" si="140">N133-J133</f>
        <v>140682.20301750963</v>
      </c>
      <c r="P133" s="76">
        <f t="shared" ref="P133:P134" si="141">O133/N133</f>
        <v>0.88265526725327703</v>
      </c>
      <c r="Q133" s="76">
        <f t="shared" ref="Q133:Q134" si="142">1-P133</f>
        <v>0.11734473274672297</v>
      </c>
      <c r="R133" s="126">
        <f t="shared" ref="R133:R134" si="143">Q133*L133</f>
        <v>0</v>
      </c>
      <c r="S133" s="126">
        <f t="shared" ref="S133:S134" si="144">Q133-R133</f>
        <v>0.11734473274672297</v>
      </c>
      <c r="T133" s="126">
        <f t="shared" ref="T133:T134" si="145">R133-S133</f>
        <v>-0.11734473274672297</v>
      </c>
      <c r="U133" s="240"/>
      <c r="V133" s="240"/>
      <c r="W133" s="240"/>
      <c r="X133" s="240"/>
      <c r="Y133" s="240"/>
      <c r="Z133" s="240"/>
      <c r="AA133" s="240"/>
      <c r="AB133" s="240"/>
      <c r="AC133" s="240"/>
      <c r="AD133" s="240"/>
      <c r="AE133" s="240"/>
      <c r="AF133" s="240"/>
      <c r="AG133" s="240"/>
      <c r="AH133" s="240"/>
      <c r="AI133" s="240"/>
      <c r="AJ133" s="240"/>
      <c r="AK133" s="240"/>
      <c r="AL133" s="240"/>
      <c r="AM133" s="240"/>
      <c r="AN133" s="240"/>
      <c r="AO133" s="240"/>
      <c r="AP133" s="240"/>
      <c r="AQ133" s="240"/>
      <c r="AR133" s="240"/>
      <c r="AS133" s="240"/>
      <c r="AT133" s="240"/>
      <c r="AU133" s="240"/>
      <c r="AV133" s="240"/>
      <c r="AW133" s="240"/>
      <c r="AX133" s="240"/>
      <c r="AY133" s="240"/>
      <c r="AZ133" s="240"/>
      <c r="BA133" s="240"/>
      <c r="BB133" s="240"/>
      <c r="BC133" s="240"/>
      <c r="BD133" s="240"/>
      <c r="BE133" s="240"/>
      <c r="BF133" s="240"/>
      <c r="BG133" s="240"/>
      <c r="BH133" s="240"/>
    </row>
    <row r="134" spans="2:60">
      <c r="B134" s="69">
        <f t="shared" si="133"/>
        <v>1</v>
      </c>
      <c r="C134" s="69">
        <f t="shared" si="138"/>
        <v>9</v>
      </c>
      <c r="D134" s="69" t="str">
        <f t="shared" si="139"/>
        <v>Avista</v>
      </c>
      <c r="E134" s="70">
        <v>2014</v>
      </c>
      <c r="F134" s="388">
        <v>920.8</v>
      </c>
      <c r="G134" s="76">
        <f t="shared" si="130"/>
        <v>0.51366230575755056</v>
      </c>
      <c r="H134" s="69"/>
      <c r="I134" s="69"/>
      <c r="J134" s="388">
        <v>15173.127479999999</v>
      </c>
      <c r="K134" s="76">
        <f>J134/$J$251</f>
        <v>1.2605202517223555E-2</v>
      </c>
      <c r="L134" s="69"/>
      <c r="M134" s="388">
        <v>4143307</v>
      </c>
      <c r="N134" s="388">
        <v>187263.14164054944</v>
      </c>
      <c r="O134" s="71">
        <f t="shared" si="140"/>
        <v>172090.01416054944</v>
      </c>
      <c r="P134" s="76">
        <f t="shared" si="141"/>
        <v>0.91897429816100851</v>
      </c>
      <c r="Q134" s="76">
        <f t="shared" si="142"/>
        <v>8.1025701838991493E-2</v>
      </c>
      <c r="R134" s="126">
        <f t="shared" si="143"/>
        <v>0</v>
      </c>
      <c r="S134" s="126">
        <f t="shared" si="144"/>
        <v>8.1025701838991493E-2</v>
      </c>
      <c r="T134" s="126">
        <f t="shared" si="145"/>
        <v>-8.1025701838991493E-2</v>
      </c>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40"/>
      <c r="AV134" s="240"/>
      <c r="AW134" s="240"/>
      <c r="AX134" s="240"/>
      <c r="AY134" s="240"/>
      <c r="AZ134" s="240"/>
      <c r="BA134" s="240"/>
      <c r="BB134" s="240"/>
      <c r="BC134" s="240"/>
      <c r="BD134" s="240"/>
      <c r="BE134" s="240"/>
      <c r="BF134" s="240"/>
      <c r="BG134" s="240"/>
      <c r="BH134" s="240"/>
    </row>
    <row r="135" spans="2:60">
      <c r="B135" s="72">
        <f>'OPG hydro peers'!B14</f>
        <v>1</v>
      </c>
      <c r="C135" s="72">
        <f t="shared" si="138"/>
        <v>10</v>
      </c>
      <c r="D135" s="72" t="str">
        <f>'OPG hydro peers'!D14</f>
        <v>Portland</v>
      </c>
      <c r="E135" s="73">
        <v>2002</v>
      </c>
      <c r="F135" s="390">
        <v>778.72</v>
      </c>
      <c r="G135" s="75">
        <f t="shared" ref="G135:G147" si="146">M135/(F135*8760)</f>
        <v>0.44956766073444021</v>
      </c>
      <c r="H135" s="127"/>
      <c r="I135" s="127"/>
      <c r="J135" s="389">
        <v>12790.249709999998</v>
      </c>
      <c r="K135" s="75">
        <f>J135/$J$239</f>
        <v>1.7969754105743939E-2</v>
      </c>
      <c r="L135" s="75"/>
      <c r="M135" s="390">
        <v>3066765</v>
      </c>
      <c r="N135" s="389">
        <v>69239.356767650985</v>
      </c>
      <c r="O135" s="127">
        <f t="shared" ref="O135:O145" si="147">N135-J135</f>
        <v>56449.107057650988</v>
      </c>
      <c r="P135" s="75">
        <f>O135/N135</f>
        <v>0.81527486234569302</v>
      </c>
      <c r="Q135" s="75">
        <f>1-P135</f>
        <v>0.18472513765430698</v>
      </c>
      <c r="R135" s="125">
        <f t="shared" ref="R135:R145" si="148">Q135*L135</f>
        <v>0</v>
      </c>
      <c r="S135" s="125">
        <f>Q135-R135</f>
        <v>0.18472513765430698</v>
      </c>
      <c r="T135" s="125">
        <f>R135-S135</f>
        <v>-0.18472513765430698</v>
      </c>
      <c r="U135" s="240"/>
      <c r="V135" s="240"/>
      <c r="W135" s="240"/>
      <c r="X135" s="240"/>
      <c r="Y135" s="240"/>
      <c r="Z135" s="240"/>
      <c r="AA135" s="240"/>
      <c r="AB135" s="240"/>
      <c r="AC135" s="240"/>
      <c r="AD135" s="240"/>
      <c r="AE135" s="240"/>
      <c r="AF135" s="240"/>
      <c r="AG135" s="240"/>
      <c r="AH135" s="240"/>
      <c r="AI135" s="240"/>
      <c r="AJ135" s="240"/>
      <c r="AK135" s="240"/>
      <c r="AL135" s="240"/>
      <c r="AM135" s="240"/>
      <c r="AN135" s="240"/>
      <c r="AO135" s="240"/>
      <c r="AP135" s="240"/>
      <c r="AQ135" s="240"/>
      <c r="AR135" s="240"/>
      <c r="AS135" s="240"/>
      <c r="AT135" s="240"/>
      <c r="AU135" s="240"/>
      <c r="AV135" s="240"/>
      <c r="AW135" s="240"/>
      <c r="AX135" s="240"/>
      <c r="AY135" s="240"/>
      <c r="AZ135" s="240"/>
      <c r="BA135" s="240"/>
      <c r="BB135" s="240"/>
      <c r="BC135" s="240"/>
      <c r="BD135" s="240"/>
      <c r="BE135" s="240"/>
      <c r="BF135" s="240"/>
      <c r="BG135" s="240"/>
      <c r="BH135" s="240"/>
    </row>
    <row r="136" spans="2:60">
      <c r="B136" s="72">
        <f t="shared" ref="B136:B147" si="149">B135</f>
        <v>1</v>
      </c>
      <c r="C136" s="72">
        <f t="shared" si="138"/>
        <v>10</v>
      </c>
      <c r="D136" s="72" t="str">
        <f t="shared" ref="D136:D147" si="150">D135</f>
        <v>Portland</v>
      </c>
      <c r="E136" s="73">
        <v>2003</v>
      </c>
      <c r="F136" s="390">
        <v>778.72</v>
      </c>
      <c r="G136" s="75">
        <f t="shared" si="146"/>
        <v>0.44265020903053176</v>
      </c>
      <c r="H136" s="127"/>
      <c r="I136" s="127"/>
      <c r="J136" s="389">
        <v>12851.38932</v>
      </c>
      <c r="K136" s="75">
        <f>J136/$J$240</f>
        <v>1.6128643310268836E-2</v>
      </c>
      <c r="L136" s="75"/>
      <c r="M136" s="390">
        <v>3019577</v>
      </c>
      <c r="N136" s="389">
        <v>112201.44279046502</v>
      </c>
      <c r="O136" s="127">
        <f t="shared" si="147"/>
        <v>99350.05347046502</v>
      </c>
      <c r="P136" s="75">
        <f t="shared" ref="P136:P145" si="151">O136/N136</f>
        <v>0.88546146109725321</v>
      </c>
      <c r="Q136" s="75">
        <f t="shared" ref="Q136:Q145" si="152">1-P136</f>
        <v>0.11453853890274679</v>
      </c>
      <c r="R136" s="125">
        <f t="shared" si="148"/>
        <v>0</v>
      </c>
      <c r="S136" s="125">
        <f t="shared" ref="S136:T145" si="153">Q136-R136</f>
        <v>0.11453853890274679</v>
      </c>
      <c r="T136" s="125">
        <f t="shared" si="153"/>
        <v>-0.11453853890274679</v>
      </c>
      <c r="U136" s="240"/>
      <c r="V136" s="240"/>
      <c r="W136" s="240"/>
      <c r="X136" s="240"/>
      <c r="Y136" s="240"/>
      <c r="Z136" s="240"/>
      <c r="AA136" s="240"/>
      <c r="AB136" s="240"/>
      <c r="AC136" s="240"/>
      <c r="AD136" s="240"/>
      <c r="AE136" s="240"/>
      <c r="AF136" s="240"/>
      <c r="AG136" s="240"/>
      <c r="AH136" s="240"/>
      <c r="AI136" s="240"/>
      <c r="AJ136" s="240"/>
      <c r="AK136" s="240"/>
      <c r="AL136" s="240"/>
      <c r="AM136" s="240"/>
      <c r="AN136" s="240"/>
      <c r="AO136" s="240"/>
      <c r="AP136" s="240"/>
      <c r="AQ136" s="240"/>
      <c r="AR136" s="240"/>
      <c r="AS136" s="240"/>
      <c r="AT136" s="240"/>
      <c r="AU136" s="240"/>
      <c r="AV136" s="240"/>
      <c r="AW136" s="240"/>
      <c r="AX136" s="240"/>
      <c r="AY136" s="240"/>
      <c r="AZ136" s="240"/>
      <c r="BA136" s="240"/>
      <c r="BB136" s="240"/>
      <c r="BC136" s="240"/>
      <c r="BD136" s="240"/>
      <c r="BE136" s="240"/>
      <c r="BF136" s="240"/>
      <c r="BG136" s="240"/>
      <c r="BH136" s="240"/>
    </row>
    <row r="137" spans="2:60">
      <c r="B137" s="72">
        <f t="shared" si="149"/>
        <v>1</v>
      </c>
      <c r="C137" s="72">
        <f t="shared" si="138"/>
        <v>10</v>
      </c>
      <c r="D137" s="72" t="str">
        <f t="shared" si="150"/>
        <v>Portland</v>
      </c>
      <c r="E137" s="73">
        <v>2004</v>
      </c>
      <c r="F137" s="390">
        <v>778.7</v>
      </c>
      <c r="G137" s="75">
        <f t="shared" si="146"/>
        <v>0.45413618177585519</v>
      </c>
      <c r="H137" s="127"/>
      <c r="I137" s="127"/>
      <c r="J137" s="389">
        <v>12311.684999999999</v>
      </c>
      <c r="K137" s="75">
        <f>J137/$J$241</f>
        <v>1.499011857459392E-2</v>
      </c>
      <c r="L137" s="75"/>
      <c r="M137" s="390">
        <v>3097850</v>
      </c>
      <c r="N137" s="389">
        <v>123243.535845429</v>
      </c>
      <c r="O137" s="127">
        <f t="shared" si="147"/>
        <v>110931.850845429</v>
      </c>
      <c r="P137" s="75">
        <f t="shared" si="151"/>
        <v>0.90010279309544305</v>
      </c>
      <c r="Q137" s="75">
        <f t="shared" si="152"/>
        <v>9.9897206904556946E-2</v>
      </c>
      <c r="R137" s="125">
        <f t="shared" si="148"/>
        <v>0</v>
      </c>
      <c r="S137" s="125">
        <f t="shared" si="153"/>
        <v>9.9897206904556946E-2</v>
      </c>
      <c r="T137" s="125">
        <f t="shared" si="153"/>
        <v>-9.9897206904556946E-2</v>
      </c>
      <c r="U137" s="240"/>
      <c r="V137" s="240"/>
      <c r="W137" s="240"/>
      <c r="X137" s="240"/>
      <c r="Y137" s="240"/>
      <c r="Z137" s="240"/>
      <c r="AA137" s="240"/>
      <c r="AB137" s="240"/>
      <c r="AC137" s="240"/>
      <c r="AD137" s="240"/>
      <c r="AE137" s="240"/>
      <c r="AF137" s="240"/>
      <c r="AG137" s="240"/>
      <c r="AH137" s="240"/>
      <c r="AI137" s="240"/>
      <c r="AJ137" s="240"/>
      <c r="AK137" s="240"/>
      <c r="AL137" s="240"/>
      <c r="AM137" s="240"/>
      <c r="AN137" s="240"/>
      <c r="AO137" s="240"/>
      <c r="AP137" s="240"/>
      <c r="AQ137" s="240"/>
      <c r="AR137" s="240"/>
      <c r="AS137" s="240"/>
      <c r="AT137" s="240"/>
      <c r="AU137" s="240"/>
      <c r="AV137" s="240"/>
      <c r="AW137" s="240"/>
      <c r="AX137" s="240"/>
      <c r="AY137" s="240"/>
      <c r="AZ137" s="240"/>
      <c r="BA137" s="240"/>
      <c r="BB137" s="240"/>
      <c r="BC137" s="240"/>
      <c r="BD137" s="240"/>
      <c r="BE137" s="240"/>
      <c r="BF137" s="240"/>
      <c r="BG137" s="240"/>
      <c r="BH137" s="240"/>
    </row>
    <row r="138" spans="2:60">
      <c r="B138" s="72">
        <f t="shared" si="149"/>
        <v>1</v>
      </c>
      <c r="C138" s="72">
        <f t="shared" si="138"/>
        <v>10</v>
      </c>
      <c r="D138" s="72" t="str">
        <f t="shared" si="150"/>
        <v>Portland</v>
      </c>
      <c r="E138" s="73">
        <v>2005</v>
      </c>
      <c r="F138" s="390">
        <v>778.7</v>
      </c>
      <c r="G138" s="75">
        <f t="shared" si="146"/>
        <v>0.41597634038231379</v>
      </c>
      <c r="H138" s="127"/>
      <c r="I138" s="127"/>
      <c r="J138" s="389">
        <v>13572.692070000001</v>
      </c>
      <c r="K138" s="75">
        <f>J138/$J$242</f>
        <v>1.5648526313112223E-2</v>
      </c>
      <c r="L138" s="75"/>
      <c r="M138" s="390">
        <v>2837546</v>
      </c>
      <c r="N138" s="389">
        <v>157186.74686761203</v>
      </c>
      <c r="O138" s="127">
        <f t="shared" si="147"/>
        <v>143614.05479761204</v>
      </c>
      <c r="P138" s="75">
        <f t="shared" si="151"/>
        <v>0.91365243991319844</v>
      </c>
      <c r="Q138" s="75">
        <f t="shared" si="152"/>
        <v>8.6347560086801556E-2</v>
      </c>
      <c r="R138" s="125">
        <f t="shared" si="148"/>
        <v>0</v>
      </c>
      <c r="S138" s="125">
        <f t="shared" si="153"/>
        <v>8.6347560086801556E-2</v>
      </c>
      <c r="T138" s="125">
        <f t="shared" si="153"/>
        <v>-8.6347560086801556E-2</v>
      </c>
      <c r="U138" s="240"/>
      <c r="V138" s="240"/>
      <c r="W138" s="240"/>
      <c r="X138" s="240"/>
      <c r="Y138" s="240"/>
      <c r="Z138" s="240"/>
      <c r="AA138" s="240"/>
      <c r="AB138" s="240"/>
      <c r="AC138" s="240"/>
      <c r="AD138" s="240"/>
      <c r="AE138" s="240"/>
      <c r="AF138" s="240"/>
      <c r="AG138" s="240"/>
      <c r="AH138" s="240"/>
      <c r="AI138" s="240"/>
      <c r="AJ138" s="240"/>
      <c r="AK138" s="240"/>
      <c r="AL138" s="240"/>
      <c r="AM138" s="240"/>
      <c r="AN138" s="240"/>
      <c r="AO138" s="240"/>
      <c r="AP138" s="240"/>
      <c r="AQ138" s="240"/>
      <c r="AR138" s="240"/>
      <c r="AS138" s="240"/>
      <c r="AT138" s="240"/>
      <c r="AU138" s="240"/>
      <c r="AV138" s="240"/>
      <c r="AW138" s="240"/>
      <c r="AX138" s="240"/>
      <c r="AY138" s="240"/>
      <c r="AZ138" s="240"/>
      <c r="BA138" s="240"/>
      <c r="BB138" s="240"/>
      <c r="BC138" s="240"/>
      <c r="BD138" s="240"/>
      <c r="BE138" s="240"/>
      <c r="BF138" s="240"/>
      <c r="BG138" s="240"/>
      <c r="BH138" s="240"/>
    </row>
    <row r="139" spans="2:60">
      <c r="B139" s="72">
        <f t="shared" si="149"/>
        <v>1</v>
      </c>
      <c r="C139" s="72">
        <f t="shared" si="138"/>
        <v>10</v>
      </c>
      <c r="D139" s="72" t="str">
        <f t="shared" si="150"/>
        <v>Portland</v>
      </c>
      <c r="E139" s="73">
        <v>2006</v>
      </c>
      <c r="F139" s="390">
        <v>778.7</v>
      </c>
      <c r="G139" s="75">
        <f t="shared" si="146"/>
        <v>0.52856593327012058</v>
      </c>
      <c r="H139" s="127"/>
      <c r="I139" s="127"/>
      <c r="J139" s="389">
        <v>15167.358779999999</v>
      </c>
      <c r="K139" s="75">
        <f>J139/$J$243</f>
        <v>1.6605747294385065E-2</v>
      </c>
      <c r="L139" s="75"/>
      <c r="M139" s="390">
        <v>3605566</v>
      </c>
      <c r="N139" s="389">
        <v>160023.52333953901</v>
      </c>
      <c r="O139" s="127">
        <f t="shared" si="147"/>
        <v>144856.164559539</v>
      </c>
      <c r="P139" s="75">
        <f t="shared" si="151"/>
        <v>0.90521794256574517</v>
      </c>
      <c r="Q139" s="75">
        <f t="shared" si="152"/>
        <v>9.4782057434254829E-2</v>
      </c>
      <c r="R139" s="125">
        <f t="shared" si="148"/>
        <v>0</v>
      </c>
      <c r="S139" s="125">
        <f t="shared" si="153"/>
        <v>9.4782057434254829E-2</v>
      </c>
      <c r="T139" s="125">
        <f t="shared" si="153"/>
        <v>-9.4782057434254829E-2</v>
      </c>
      <c r="U139" s="240"/>
      <c r="V139" s="240"/>
      <c r="W139" s="240"/>
      <c r="X139" s="240"/>
      <c r="Y139" s="240"/>
      <c r="Z139" s="240"/>
      <c r="AA139" s="240"/>
      <c r="AB139" s="240"/>
      <c r="AC139" s="240"/>
      <c r="AD139" s="240"/>
      <c r="AE139" s="240"/>
      <c r="AF139" s="240"/>
      <c r="AG139" s="240"/>
      <c r="AH139" s="240"/>
      <c r="AI139" s="240"/>
      <c r="AJ139" s="240"/>
      <c r="AK139" s="240"/>
      <c r="AL139" s="240"/>
      <c r="AM139" s="240"/>
      <c r="AN139" s="240"/>
      <c r="AO139" s="240"/>
      <c r="AP139" s="240"/>
      <c r="AQ139" s="240"/>
      <c r="AR139" s="240"/>
      <c r="AS139" s="240"/>
      <c r="AT139" s="240"/>
      <c r="AU139" s="240"/>
      <c r="AV139" s="240"/>
      <c r="AW139" s="240"/>
      <c r="AX139" s="240"/>
      <c r="AY139" s="240"/>
      <c r="AZ139" s="240"/>
      <c r="BA139" s="240"/>
      <c r="BB139" s="240"/>
      <c r="BC139" s="240"/>
      <c r="BD139" s="240"/>
      <c r="BE139" s="240"/>
      <c r="BF139" s="240"/>
      <c r="BG139" s="240"/>
      <c r="BH139" s="240"/>
    </row>
    <row r="140" spans="2:60">
      <c r="B140" s="72">
        <f t="shared" si="149"/>
        <v>1</v>
      </c>
      <c r="C140" s="72">
        <f t="shared" si="138"/>
        <v>10</v>
      </c>
      <c r="D140" s="72" t="str">
        <f t="shared" si="150"/>
        <v>Portland</v>
      </c>
      <c r="E140" s="73">
        <v>2007</v>
      </c>
      <c r="F140" s="390">
        <v>778.7</v>
      </c>
      <c r="G140" s="75">
        <f t="shared" si="146"/>
        <v>0.46666760488884118</v>
      </c>
      <c r="H140" s="127"/>
      <c r="I140" s="127"/>
      <c r="J140" s="389">
        <v>19610.313120000003</v>
      </c>
      <c r="K140" s="75">
        <f>J140/$J$244</f>
        <v>1.9714084026340912E-2</v>
      </c>
      <c r="L140" s="75"/>
      <c r="M140" s="390">
        <v>3183332</v>
      </c>
      <c r="N140" s="389">
        <v>162413.81548090503</v>
      </c>
      <c r="O140" s="127">
        <f t="shared" si="147"/>
        <v>142803.50236090503</v>
      </c>
      <c r="P140" s="75">
        <f t="shared" si="151"/>
        <v>0.87925711207550816</v>
      </c>
      <c r="Q140" s="75">
        <f t="shared" si="152"/>
        <v>0.12074288792449184</v>
      </c>
      <c r="R140" s="125">
        <f t="shared" si="148"/>
        <v>0</v>
      </c>
      <c r="S140" s="125">
        <f t="shared" si="153"/>
        <v>0.12074288792449184</v>
      </c>
      <c r="T140" s="125">
        <f t="shared" si="153"/>
        <v>-0.12074288792449184</v>
      </c>
      <c r="U140" s="240"/>
      <c r="V140" s="240"/>
      <c r="W140" s="240"/>
      <c r="X140" s="240"/>
      <c r="Y140" s="240"/>
      <c r="Z140" s="240"/>
      <c r="AA140" s="240"/>
      <c r="AB140" s="240"/>
      <c r="AC140" s="240"/>
      <c r="AD140" s="240"/>
      <c r="AE140" s="240"/>
      <c r="AF140" s="240"/>
      <c r="AG140" s="240"/>
      <c r="AH140" s="240"/>
      <c r="AI140" s="240"/>
      <c r="AJ140" s="240"/>
      <c r="AK140" s="240"/>
      <c r="AL140" s="240"/>
      <c r="AM140" s="240"/>
      <c r="AN140" s="240"/>
      <c r="AO140" s="240"/>
      <c r="AP140" s="240"/>
      <c r="AQ140" s="240"/>
      <c r="AR140" s="240"/>
      <c r="AS140" s="240"/>
      <c r="AT140" s="240"/>
      <c r="AU140" s="240"/>
      <c r="AV140" s="240"/>
      <c r="AW140" s="240"/>
      <c r="AX140" s="240"/>
      <c r="AY140" s="240"/>
      <c r="AZ140" s="240"/>
      <c r="BA140" s="240"/>
      <c r="BB140" s="240"/>
      <c r="BC140" s="240"/>
      <c r="BD140" s="240"/>
      <c r="BE140" s="240"/>
      <c r="BF140" s="240"/>
      <c r="BG140" s="240"/>
      <c r="BH140" s="240"/>
    </row>
    <row r="141" spans="2:60">
      <c r="B141" s="72">
        <f t="shared" si="149"/>
        <v>1</v>
      </c>
      <c r="C141" s="72">
        <f t="shared" si="138"/>
        <v>10</v>
      </c>
      <c r="D141" s="72" t="str">
        <f t="shared" si="150"/>
        <v>Portland</v>
      </c>
      <c r="E141" s="73">
        <v>2008</v>
      </c>
      <c r="F141" s="390">
        <v>778.7</v>
      </c>
      <c r="G141" s="75">
        <f t="shared" si="146"/>
        <v>0.46941674245742671</v>
      </c>
      <c r="H141" s="127"/>
      <c r="I141" s="127"/>
      <c r="J141" s="389">
        <v>21110.4408</v>
      </c>
      <c r="K141" s="75">
        <f>J141/$J$245</f>
        <v>1.9483509785629627E-2</v>
      </c>
      <c r="L141" s="75"/>
      <c r="M141" s="390">
        <v>3202085</v>
      </c>
      <c r="N141" s="389">
        <v>194469.50409167795</v>
      </c>
      <c r="O141" s="127">
        <f t="shared" si="147"/>
        <v>173359.06329167794</v>
      </c>
      <c r="P141" s="75">
        <f t="shared" si="151"/>
        <v>0.8914460089842775</v>
      </c>
      <c r="Q141" s="75">
        <f t="shared" si="152"/>
        <v>0.1085539910157225</v>
      </c>
      <c r="R141" s="125">
        <f t="shared" si="148"/>
        <v>0</v>
      </c>
      <c r="S141" s="125">
        <f t="shared" si="153"/>
        <v>0.1085539910157225</v>
      </c>
      <c r="T141" s="125">
        <f t="shared" si="153"/>
        <v>-0.1085539910157225</v>
      </c>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0"/>
      <c r="AP141" s="240"/>
      <c r="AQ141" s="240"/>
      <c r="AR141" s="240"/>
      <c r="AS141" s="240"/>
      <c r="AT141" s="240"/>
      <c r="AU141" s="240"/>
      <c r="AV141" s="240"/>
      <c r="AW141" s="240"/>
      <c r="AX141" s="240"/>
      <c r="AY141" s="240"/>
      <c r="AZ141" s="240"/>
      <c r="BA141" s="240"/>
      <c r="BB141" s="240"/>
      <c r="BC141" s="240"/>
      <c r="BD141" s="240"/>
      <c r="BE141" s="240"/>
      <c r="BF141" s="240"/>
      <c r="BG141" s="240"/>
      <c r="BH141" s="240"/>
    </row>
    <row r="142" spans="2:60">
      <c r="B142" s="72">
        <f t="shared" si="149"/>
        <v>1</v>
      </c>
      <c r="C142" s="72">
        <f t="shared" si="138"/>
        <v>10</v>
      </c>
      <c r="D142" s="72" t="str">
        <f t="shared" si="150"/>
        <v>Portland</v>
      </c>
      <c r="E142" s="73">
        <v>2009</v>
      </c>
      <c r="F142" s="390">
        <v>757.7</v>
      </c>
      <c r="G142" s="75">
        <f t="shared" si="146"/>
        <v>0.48083903280957813</v>
      </c>
      <c r="H142" s="127"/>
      <c r="I142" s="127"/>
      <c r="J142" s="389">
        <v>25499.377230000002</v>
      </c>
      <c r="K142" s="75">
        <f>J142/$J$246</f>
        <v>2.3756435948626933E-2</v>
      </c>
      <c r="L142" s="75"/>
      <c r="M142" s="390">
        <v>3191546</v>
      </c>
      <c r="N142" s="389">
        <v>99840.738754286678</v>
      </c>
      <c r="O142" s="127">
        <f t="shared" si="147"/>
        <v>74341.36152428668</v>
      </c>
      <c r="P142" s="75">
        <f t="shared" si="151"/>
        <v>0.74459947364016099</v>
      </c>
      <c r="Q142" s="75">
        <f t="shared" si="152"/>
        <v>0.25540052635983901</v>
      </c>
      <c r="R142" s="125">
        <f t="shared" si="148"/>
        <v>0</v>
      </c>
      <c r="S142" s="125">
        <f t="shared" si="153"/>
        <v>0.25540052635983901</v>
      </c>
      <c r="T142" s="125">
        <f t="shared" si="153"/>
        <v>-0.25540052635983901</v>
      </c>
      <c r="U142" s="240"/>
      <c r="V142" s="240"/>
      <c r="W142" s="240"/>
      <c r="X142" s="240"/>
      <c r="Y142" s="240"/>
      <c r="Z142" s="240"/>
      <c r="AA142" s="240"/>
      <c r="AB142" s="240"/>
      <c r="AC142" s="240"/>
      <c r="AD142" s="240"/>
      <c r="AE142" s="240"/>
      <c r="AF142" s="240"/>
      <c r="AG142" s="240"/>
      <c r="AH142" s="240"/>
      <c r="AI142" s="240"/>
      <c r="AJ142" s="240"/>
      <c r="AK142" s="240"/>
      <c r="AL142" s="240"/>
      <c r="AM142" s="240"/>
      <c r="AN142" s="240"/>
      <c r="AO142" s="240"/>
      <c r="AP142" s="240"/>
      <c r="AQ142" s="240"/>
      <c r="AR142" s="240"/>
      <c r="AS142" s="240"/>
      <c r="AT142" s="240"/>
      <c r="AU142" s="240"/>
      <c r="AV142" s="240"/>
      <c r="AW142" s="240"/>
      <c r="AX142" s="240"/>
      <c r="AY142" s="240"/>
      <c r="AZ142" s="240"/>
      <c r="BA142" s="240"/>
      <c r="BB142" s="240"/>
      <c r="BC142" s="240"/>
      <c r="BD142" s="240"/>
      <c r="BE142" s="240"/>
      <c r="BF142" s="240"/>
      <c r="BG142" s="240"/>
      <c r="BH142" s="240"/>
    </row>
    <row r="143" spans="2:60">
      <c r="B143" s="72">
        <f t="shared" si="149"/>
        <v>1</v>
      </c>
      <c r="C143" s="72">
        <f t="shared" si="138"/>
        <v>10</v>
      </c>
      <c r="D143" s="72" t="str">
        <f t="shared" si="150"/>
        <v>Portland</v>
      </c>
      <c r="E143" s="73">
        <v>2010</v>
      </c>
      <c r="F143" s="390">
        <v>757.7</v>
      </c>
      <c r="G143" s="75">
        <f t="shared" si="146"/>
        <v>0.4903652787244262</v>
      </c>
      <c r="H143" s="127"/>
      <c r="I143" s="127"/>
      <c r="J143" s="389">
        <v>21662.864549999998</v>
      </c>
      <c r="K143" s="75">
        <f>J143/$J$247</f>
        <v>1.8791961486717718E-2</v>
      </c>
      <c r="L143" s="75"/>
      <c r="M143" s="390">
        <v>3254776</v>
      </c>
      <c r="N143" s="389">
        <v>103973.05561198339</v>
      </c>
      <c r="O143" s="127">
        <f t="shared" si="147"/>
        <v>82310.191061983394</v>
      </c>
      <c r="P143" s="75">
        <f t="shared" si="151"/>
        <v>0.79164924583111651</v>
      </c>
      <c r="Q143" s="75">
        <f t="shared" si="152"/>
        <v>0.20835075416888349</v>
      </c>
      <c r="R143" s="125">
        <f t="shared" si="148"/>
        <v>0</v>
      </c>
      <c r="S143" s="125">
        <f t="shared" si="153"/>
        <v>0.20835075416888349</v>
      </c>
      <c r="T143" s="125">
        <f t="shared" si="153"/>
        <v>-0.20835075416888349</v>
      </c>
      <c r="U143" s="240"/>
      <c r="V143" s="240"/>
      <c r="W143" s="240"/>
      <c r="X143" s="240"/>
      <c r="Y143" s="240"/>
      <c r="Z143" s="240"/>
      <c r="AA143" s="240"/>
      <c r="AB143" s="240"/>
      <c r="AC143" s="240"/>
      <c r="AD143" s="240"/>
      <c r="AE143" s="240"/>
      <c r="AF143" s="240"/>
      <c r="AG143" s="240"/>
      <c r="AH143" s="240"/>
      <c r="AI143" s="240"/>
      <c r="AJ143" s="240"/>
      <c r="AK143" s="240"/>
      <c r="AL143" s="240"/>
      <c r="AM143" s="240"/>
      <c r="AN143" s="240"/>
      <c r="AO143" s="240"/>
      <c r="AP143" s="240"/>
      <c r="AQ143" s="240"/>
      <c r="AR143" s="240"/>
      <c r="AS143" s="240"/>
      <c r="AT143" s="240"/>
      <c r="AU143" s="240"/>
      <c r="AV143" s="240"/>
      <c r="AW143" s="240"/>
      <c r="AX143" s="240"/>
      <c r="AY143" s="240"/>
      <c r="AZ143" s="240"/>
      <c r="BA143" s="240"/>
      <c r="BB143" s="240"/>
      <c r="BC143" s="240"/>
      <c r="BD143" s="240"/>
      <c r="BE143" s="240"/>
      <c r="BF143" s="240"/>
      <c r="BG143" s="240"/>
      <c r="BH143" s="240"/>
    </row>
    <row r="144" spans="2:60">
      <c r="B144" s="72">
        <f t="shared" si="149"/>
        <v>1</v>
      </c>
      <c r="C144" s="72">
        <f t="shared" si="138"/>
        <v>10</v>
      </c>
      <c r="D144" s="72" t="str">
        <f t="shared" si="150"/>
        <v>Portland</v>
      </c>
      <c r="E144" s="73">
        <v>2011</v>
      </c>
      <c r="F144" s="390">
        <v>757.7</v>
      </c>
      <c r="G144" s="75">
        <f t="shared" si="146"/>
        <v>0.53057362976033573</v>
      </c>
      <c r="H144" s="127"/>
      <c r="I144" s="127"/>
      <c r="J144" s="389">
        <v>22382.795849999999</v>
      </c>
      <c r="K144" s="75">
        <f>J144/$J$248</f>
        <v>1.9455592919363322E-2</v>
      </c>
      <c r="L144" s="75"/>
      <c r="M144" s="390">
        <v>3521657</v>
      </c>
      <c r="N144" s="389">
        <v>90326.765533280806</v>
      </c>
      <c r="O144" s="127">
        <f t="shared" si="147"/>
        <v>67943.969683280811</v>
      </c>
      <c r="P144" s="75">
        <f t="shared" si="151"/>
        <v>0.75220195566780179</v>
      </c>
      <c r="Q144" s="75">
        <f t="shared" si="152"/>
        <v>0.24779804433219821</v>
      </c>
      <c r="R144" s="125">
        <f t="shared" si="148"/>
        <v>0</v>
      </c>
      <c r="S144" s="125">
        <f t="shared" si="153"/>
        <v>0.24779804433219821</v>
      </c>
      <c r="T144" s="125">
        <f t="shared" si="153"/>
        <v>-0.24779804433219821</v>
      </c>
      <c r="U144" s="240"/>
      <c r="V144" s="240"/>
      <c r="W144" s="240"/>
      <c r="X144" s="240"/>
      <c r="Y144" s="240"/>
      <c r="Z144" s="240"/>
      <c r="AA144" s="240"/>
      <c r="AB144" s="240"/>
      <c r="AC144" s="240"/>
      <c r="AD144" s="240"/>
      <c r="AE144" s="240"/>
      <c r="AF144" s="240"/>
      <c r="AG144" s="240"/>
      <c r="AH144" s="240"/>
      <c r="AI144" s="240"/>
      <c r="AJ144" s="240"/>
      <c r="AK144" s="240"/>
      <c r="AL144" s="240"/>
      <c r="AM144" s="240"/>
      <c r="AN144" s="240"/>
      <c r="AO144" s="240"/>
      <c r="AP144" s="240"/>
      <c r="AQ144" s="240"/>
      <c r="AR144" s="240"/>
      <c r="AS144" s="240"/>
      <c r="AT144" s="240"/>
      <c r="AU144" s="240"/>
      <c r="AV144" s="240"/>
      <c r="AW144" s="240"/>
      <c r="AX144" s="240"/>
      <c r="AY144" s="240"/>
      <c r="AZ144" s="240"/>
      <c r="BA144" s="240"/>
      <c r="BB144" s="240"/>
      <c r="BC144" s="240"/>
      <c r="BD144" s="240"/>
      <c r="BE144" s="240"/>
      <c r="BF144" s="240"/>
      <c r="BG144" s="240"/>
      <c r="BH144" s="240"/>
    </row>
    <row r="145" spans="2:60">
      <c r="B145" s="72">
        <f t="shared" si="149"/>
        <v>1</v>
      </c>
      <c r="C145" s="72">
        <f t="shared" si="138"/>
        <v>10</v>
      </c>
      <c r="D145" s="72" t="str">
        <f t="shared" si="150"/>
        <v>Portland</v>
      </c>
      <c r="E145" s="73">
        <v>2012</v>
      </c>
      <c r="F145" s="390">
        <v>807.9</v>
      </c>
      <c r="G145" s="75">
        <f t="shared" si="146"/>
        <v>0.48919262465798641</v>
      </c>
      <c r="H145" s="127"/>
      <c r="I145" s="127"/>
      <c r="J145" s="389">
        <v>25819.268250000001</v>
      </c>
      <c r="K145" s="75">
        <f>J145/$J$249</f>
        <v>2.1755064734584762E-2</v>
      </c>
      <c r="L145" s="75"/>
      <c r="M145" s="390">
        <v>3462116</v>
      </c>
      <c r="N145" s="389">
        <v>71956.441036082018</v>
      </c>
      <c r="O145" s="127">
        <f t="shared" si="147"/>
        <v>46137.172786082017</v>
      </c>
      <c r="P145" s="75">
        <f t="shared" si="151"/>
        <v>0.64118197234000052</v>
      </c>
      <c r="Q145" s="75">
        <f t="shared" si="152"/>
        <v>0.35881802765999948</v>
      </c>
      <c r="R145" s="125">
        <f t="shared" si="148"/>
        <v>0</v>
      </c>
      <c r="S145" s="125">
        <f t="shared" si="153"/>
        <v>0.35881802765999948</v>
      </c>
      <c r="T145" s="125">
        <f t="shared" si="153"/>
        <v>-0.35881802765999948</v>
      </c>
      <c r="U145" s="240"/>
      <c r="V145" s="240"/>
      <c r="W145" s="240"/>
      <c r="X145" s="240"/>
      <c r="Y145" s="240"/>
      <c r="Z145" s="240"/>
      <c r="AA145" s="240"/>
      <c r="AB145" s="240"/>
      <c r="AC145" s="240"/>
      <c r="AD145" s="240"/>
      <c r="AE145" s="240"/>
      <c r="AF145" s="240"/>
      <c r="AG145" s="240"/>
      <c r="AH145" s="240"/>
      <c r="AI145" s="240"/>
      <c r="AJ145" s="240"/>
      <c r="AK145" s="240"/>
      <c r="AL145" s="240"/>
      <c r="AM145" s="240"/>
      <c r="AN145" s="240"/>
      <c r="AO145" s="240"/>
      <c r="AP145" s="240"/>
      <c r="AQ145" s="240"/>
      <c r="AR145" s="240"/>
      <c r="AS145" s="240"/>
      <c r="AT145" s="240"/>
      <c r="AU145" s="240"/>
      <c r="AV145" s="240"/>
      <c r="AW145" s="240"/>
      <c r="AX145" s="240"/>
      <c r="AY145" s="240"/>
      <c r="AZ145" s="240"/>
      <c r="BA145" s="240"/>
      <c r="BB145" s="240"/>
      <c r="BC145" s="240"/>
      <c r="BD145" s="240"/>
      <c r="BE145" s="240"/>
      <c r="BF145" s="240"/>
      <c r="BG145" s="240"/>
      <c r="BH145" s="240"/>
    </row>
    <row r="146" spans="2:60">
      <c r="B146" s="72">
        <f t="shared" si="149"/>
        <v>1</v>
      </c>
      <c r="C146" s="72">
        <f t="shared" si="138"/>
        <v>10</v>
      </c>
      <c r="D146" s="72" t="str">
        <f t="shared" si="150"/>
        <v>Portland</v>
      </c>
      <c r="E146" s="73">
        <v>2013</v>
      </c>
      <c r="F146" s="390">
        <v>807.9</v>
      </c>
      <c r="G146" s="75">
        <f t="shared" si="146"/>
        <v>0.42414490242191688</v>
      </c>
      <c r="H146" s="127"/>
      <c r="I146" s="127"/>
      <c r="J146" s="389">
        <v>26947.084770000001</v>
      </c>
      <c r="K146" s="75">
        <f>J146/$J$250</f>
        <v>2.2965665269269332E-2</v>
      </c>
      <c r="L146" s="72"/>
      <c r="M146" s="390">
        <v>3001760</v>
      </c>
      <c r="N146" s="389">
        <v>97629.862911950608</v>
      </c>
      <c r="O146" s="127">
        <f t="shared" ref="O146:O147" si="154">N146-J146</f>
        <v>70682.778141950606</v>
      </c>
      <c r="P146" s="75">
        <f t="shared" ref="P146:P147" si="155">O146/N146</f>
        <v>0.72398727227239112</v>
      </c>
      <c r="Q146" s="75">
        <f t="shared" ref="Q146:Q147" si="156">1-P146</f>
        <v>0.27601272772760888</v>
      </c>
      <c r="R146" s="125">
        <f t="shared" ref="R146:R147" si="157">Q146*L146</f>
        <v>0</v>
      </c>
      <c r="S146" s="125">
        <f t="shared" ref="S146:S147" si="158">Q146-R146</f>
        <v>0.27601272772760888</v>
      </c>
      <c r="T146" s="125">
        <f t="shared" ref="T146:T147" si="159">R146-S146</f>
        <v>-0.27601272772760888</v>
      </c>
      <c r="U146" s="240"/>
      <c r="V146" s="240"/>
      <c r="W146" s="240"/>
      <c r="X146" s="240"/>
      <c r="Y146" s="240"/>
      <c r="Z146" s="240"/>
      <c r="AA146" s="240"/>
      <c r="AB146" s="240"/>
      <c r="AC146" s="240"/>
      <c r="AD146" s="240"/>
      <c r="AE146" s="240"/>
      <c r="AF146" s="240"/>
      <c r="AG146" s="240"/>
      <c r="AH146" s="240"/>
      <c r="AI146" s="240"/>
      <c r="AJ146" s="240"/>
      <c r="AK146" s="240"/>
      <c r="AL146" s="240"/>
      <c r="AM146" s="240"/>
      <c r="AN146" s="240"/>
      <c r="AO146" s="240"/>
      <c r="AP146" s="240"/>
      <c r="AQ146" s="240"/>
      <c r="AR146" s="240"/>
      <c r="AS146" s="240"/>
      <c r="AT146" s="240"/>
      <c r="AU146" s="240"/>
      <c r="AV146" s="240"/>
      <c r="AW146" s="240"/>
      <c r="AX146" s="240"/>
      <c r="AY146" s="240"/>
      <c r="AZ146" s="240"/>
      <c r="BA146" s="240"/>
      <c r="BB146" s="240"/>
      <c r="BC146" s="240"/>
      <c r="BD146" s="240"/>
      <c r="BE146" s="240"/>
      <c r="BF146" s="240"/>
      <c r="BG146" s="240"/>
      <c r="BH146" s="240"/>
    </row>
    <row r="147" spans="2:60">
      <c r="B147" s="72">
        <f t="shared" si="149"/>
        <v>1</v>
      </c>
      <c r="C147" s="72">
        <f t="shared" si="138"/>
        <v>10</v>
      </c>
      <c r="D147" s="72" t="str">
        <f t="shared" si="150"/>
        <v>Portland</v>
      </c>
      <c r="E147" s="73">
        <v>2014</v>
      </c>
      <c r="F147" s="390">
        <v>889.1</v>
      </c>
      <c r="G147" s="75">
        <f t="shared" si="146"/>
        <v>0.4064561207809036</v>
      </c>
      <c r="H147" s="127"/>
      <c r="I147" s="127"/>
      <c r="J147" s="389">
        <v>31102.552439999999</v>
      </c>
      <c r="K147" s="75">
        <f>J147/$J$251</f>
        <v>2.5838705489394966E-2</v>
      </c>
      <c r="L147" s="72"/>
      <c r="M147" s="390">
        <v>3165690</v>
      </c>
      <c r="N147" s="389">
        <v>112545.88334186323</v>
      </c>
      <c r="O147" s="127">
        <f t="shared" si="154"/>
        <v>81443.330901863228</v>
      </c>
      <c r="P147" s="75">
        <f t="shared" si="155"/>
        <v>0.72364557888337344</v>
      </c>
      <c r="Q147" s="75">
        <f t="shared" si="156"/>
        <v>0.27635442111662656</v>
      </c>
      <c r="R147" s="125">
        <f t="shared" si="157"/>
        <v>0</v>
      </c>
      <c r="S147" s="125">
        <f t="shared" si="158"/>
        <v>0.27635442111662656</v>
      </c>
      <c r="T147" s="125">
        <f t="shared" si="159"/>
        <v>-0.27635442111662656</v>
      </c>
      <c r="U147" s="240"/>
      <c r="V147" s="240"/>
      <c r="W147" s="240"/>
      <c r="X147" s="240"/>
      <c r="Y147" s="240"/>
      <c r="Z147" s="240"/>
      <c r="AA147" s="240"/>
      <c r="AB147" s="240"/>
      <c r="AC147" s="240"/>
      <c r="AD147" s="240"/>
      <c r="AE147" s="240"/>
      <c r="AF147" s="240"/>
      <c r="AG147" s="240"/>
      <c r="AH147" s="240"/>
      <c r="AI147" s="240"/>
      <c r="AJ147" s="240"/>
      <c r="AK147" s="240"/>
      <c r="AL147" s="240"/>
      <c r="AM147" s="240"/>
      <c r="AN147" s="240"/>
      <c r="AO147" s="240"/>
      <c r="AP147" s="240"/>
      <c r="AQ147" s="240"/>
      <c r="AR147" s="240"/>
      <c r="AS147" s="240"/>
      <c r="AT147" s="240"/>
      <c r="AU147" s="240"/>
      <c r="AV147" s="240"/>
      <c r="AW147" s="240"/>
      <c r="AX147" s="240"/>
      <c r="AY147" s="240"/>
      <c r="AZ147" s="240"/>
      <c r="BA147" s="240"/>
      <c r="BB147" s="240"/>
      <c r="BC147" s="240"/>
      <c r="BD147" s="240"/>
      <c r="BE147" s="240"/>
      <c r="BF147" s="240"/>
      <c r="BG147" s="240"/>
      <c r="BH147" s="240"/>
    </row>
    <row r="148" spans="2:60">
      <c r="B148" s="69">
        <f>'OPG hydro peers'!B15</f>
        <v>1</v>
      </c>
      <c r="C148" s="69">
        <f t="shared" si="138"/>
        <v>11</v>
      </c>
      <c r="D148" s="69" t="str">
        <f>'OPG hydro peers'!D15</f>
        <v>Ameren MI - Union</v>
      </c>
      <c r="E148" s="70">
        <v>2002</v>
      </c>
      <c r="F148" s="388">
        <v>740.8</v>
      </c>
      <c r="G148" s="76">
        <f t="shared" ref="G148:G160" si="160">M148/(F148*8760)</f>
        <v>0.27237137809797135</v>
      </c>
      <c r="H148" s="71"/>
      <c r="I148" s="71"/>
      <c r="J148" s="388">
        <v>13567.439969999999</v>
      </c>
      <c r="K148" s="76">
        <f>J148/$J$239</f>
        <v>1.9061673198977908E-2</v>
      </c>
      <c r="L148" s="76"/>
      <c r="M148" s="388">
        <v>1767529</v>
      </c>
      <c r="N148" s="388">
        <v>31595.232993086043</v>
      </c>
      <c r="O148" s="71">
        <f t="shared" ref="O148:O158" si="161">N148-J148</f>
        <v>18027.793023086044</v>
      </c>
      <c r="P148" s="76">
        <f>O148/N148</f>
        <v>0.57058585474052526</v>
      </c>
      <c r="Q148" s="76">
        <f>1-P148</f>
        <v>0.42941414525947474</v>
      </c>
      <c r="R148" s="126">
        <f t="shared" ref="R148:R158" si="162">Q148*L148</f>
        <v>0</v>
      </c>
      <c r="S148" s="126">
        <f>Q148-R148</f>
        <v>0.42941414525947474</v>
      </c>
      <c r="T148" s="126">
        <f>R148-S148</f>
        <v>-0.42941414525947474</v>
      </c>
      <c r="U148" s="240"/>
      <c r="V148" s="240"/>
      <c r="W148" s="240"/>
      <c r="X148" s="240"/>
      <c r="Y148" s="240"/>
      <c r="Z148" s="240"/>
      <c r="AA148" s="240"/>
      <c r="AB148" s="240"/>
      <c r="AC148" s="240"/>
      <c r="AD148" s="240"/>
      <c r="AE148" s="240"/>
      <c r="AF148" s="240"/>
      <c r="AG148" s="240"/>
      <c r="AH148" s="240"/>
      <c r="AI148" s="240"/>
      <c r="AJ148" s="240"/>
      <c r="AK148" s="240"/>
      <c r="AL148" s="240"/>
      <c r="AM148" s="240"/>
      <c r="AN148" s="240"/>
      <c r="AO148" s="240"/>
      <c r="AP148" s="240"/>
      <c r="AQ148" s="240"/>
      <c r="AR148" s="240"/>
      <c r="AS148" s="240"/>
      <c r="AT148" s="240"/>
      <c r="AU148" s="240"/>
      <c r="AV148" s="240"/>
      <c r="AW148" s="240"/>
      <c r="AX148" s="240"/>
      <c r="AY148" s="240"/>
      <c r="AZ148" s="240"/>
      <c r="BA148" s="240"/>
      <c r="BB148" s="240"/>
      <c r="BC148" s="240"/>
      <c r="BD148" s="240"/>
      <c r="BE148" s="240"/>
      <c r="BF148" s="240"/>
      <c r="BG148" s="240"/>
      <c r="BH148" s="240"/>
    </row>
    <row r="149" spans="2:60">
      <c r="B149" s="69">
        <f t="shared" ref="B149:B160" si="163">B148</f>
        <v>1</v>
      </c>
      <c r="C149" s="69">
        <f t="shared" si="138"/>
        <v>11</v>
      </c>
      <c r="D149" s="69" t="str">
        <f t="shared" ref="D149:D156" si="164">D148</f>
        <v>Ameren MI - Union</v>
      </c>
      <c r="E149" s="70">
        <v>2003</v>
      </c>
      <c r="F149" s="388">
        <v>740.8</v>
      </c>
      <c r="G149" s="76">
        <f t="shared" si="160"/>
        <v>0.22520405559336076</v>
      </c>
      <c r="H149" s="71"/>
      <c r="I149" s="71"/>
      <c r="J149" s="388">
        <v>10767.12111</v>
      </c>
      <c r="K149" s="76">
        <f>J149/$J$240</f>
        <v>1.3512862425807818E-2</v>
      </c>
      <c r="L149" s="76"/>
      <c r="M149" s="388">
        <v>1461441</v>
      </c>
      <c r="N149" s="388">
        <v>29302.312665790661</v>
      </c>
      <c r="O149" s="71">
        <f t="shared" si="161"/>
        <v>18535.191555790661</v>
      </c>
      <c r="P149" s="76">
        <f t="shared" ref="P149:P158" si="165">O149/N149</f>
        <v>0.6325504668247498</v>
      </c>
      <c r="Q149" s="76">
        <f t="shared" ref="Q149:Q158" si="166">1-P149</f>
        <v>0.3674495331752502</v>
      </c>
      <c r="R149" s="126">
        <f t="shared" si="162"/>
        <v>0</v>
      </c>
      <c r="S149" s="126">
        <f t="shared" ref="S149:T158" si="167">Q149-R149</f>
        <v>0.3674495331752502</v>
      </c>
      <c r="T149" s="126">
        <f t="shared" si="167"/>
        <v>-0.3674495331752502</v>
      </c>
      <c r="U149" s="240"/>
      <c r="V149" s="240"/>
      <c r="W149" s="240"/>
      <c r="X149" s="240"/>
      <c r="Y149" s="240"/>
      <c r="Z149" s="240"/>
      <c r="AA149" s="240"/>
      <c r="AB149" s="240"/>
      <c r="AC149" s="240"/>
      <c r="AD149" s="240"/>
      <c r="AE149" s="240"/>
      <c r="AF149" s="240"/>
      <c r="AG149" s="240"/>
      <c r="AH149" s="240"/>
      <c r="AI149" s="240"/>
      <c r="AJ149" s="240"/>
      <c r="AK149" s="240"/>
      <c r="AL149" s="240"/>
      <c r="AM149" s="240"/>
      <c r="AN149" s="240"/>
      <c r="AO149" s="240"/>
      <c r="AP149" s="240"/>
      <c r="AQ149" s="240"/>
      <c r="AR149" s="240"/>
      <c r="AS149" s="240"/>
      <c r="AT149" s="240"/>
      <c r="AU149" s="240"/>
      <c r="AV149" s="240"/>
      <c r="AW149" s="240"/>
      <c r="AX149" s="240"/>
      <c r="AY149" s="240"/>
      <c r="AZ149" s="240"/>
      <c r="BA149" s="240"/>
      <c r="BB149" s="240"/>
      <c r="BC149" s="240"/>
      <c r="BD149" s="240"/>
      <c r="BE149" s="240"/>
      <c r="BF149" s="240"/>
      <c r="BG149" s="240"/>
      <c r="BH149" s="240"/>
    </row>
    <row r="150" spans="2:60">
      <c r="B150" s="69">
        <f t="shared" si="163"/>
        <v>1</v>
      </c>
      <c r="C150" s="69">
        <f t="shared" si="138"/>
        <v>11</v>
      </c>
      <c r="D150" s="69" t="str">
        <f t="shared" si="164"/>
        <v>Ameren MI - Union</v>
      </c>
      <c r="E150" s="70">
        <v>2004</v>
      </c>
      <c r="F150" s="388">
        <v>740.8</v>
      </c>
      <c r="G150" s="76">
        <f t="shared" si="160"/>
        <v>0.32177465186346738</v>
      </c>
      <c r="H150" s="71"/>
      <c r="I150" s="71"/>
      <c r="J150" s="388">
        <v>13207.742459999999</v>
      </c>
      <c r="K150" s="76">
        <f>J150/$J$241</f>
        <v>1.608111526392194E-2</v>
      </c>
      <c r="L150" s="76"/>
      <c r="M150" s="388">
        <v>2088127</v>
      </c>
      <c r="N150" s="388">
        <v>58979.179650416743</v>
      </c>
      <c r="O150" s="71">
        <f t="shared" si="161"/>
        <v>45771.437190416742</v>
      </c>
      <c r="P150" s="76">
        <f t="shared" si="165"/>
        <v>0.77606093305662527</v>
      </c>
      <c r="Q150" s="76">
        <f t="shared" si="166"/>
        <v>0.22393906694337473</v>
      </c>
      <c r="R150" s="126">
        <f t="shared" si="162"/>
        <v>0</v>
      </c>
      <c r="S150" s="126">
        <f t="shared" si="167"/>
        <v>0.22393906694337473</v>
      </c>
      <c r="T150" s="126">
        <f t="shared" si="167"/>
        <v>-0.22393906694337473</v>
      </c>
      <c r="U150" s="240"/>
      <c r="V150" s="240"/>
      <c r="W150" s="240"/>
      <c r="X150" s="240"/>
      <c r="Y150" s="240"/>
      <c r="Z150" s="240"/>
      <c r="AA150" s="240"/>
      <c r="AB150" s="240"/>
      <c r="AC150" s="240"/>
      <c r="AD150" s="240"/>
      <c r="AE150" s="240"/>
      <c r="AF150" s="240"/>
      <c r="AG150" s="240"/>
      <c r="AH150" s="240"/>
      <c r="AI150" s="240"/>
      <c r="AJ150" s="240"/>
      <c r="AK150" s="240"/>
      <c r="AL150" s="240"/>
      <c r="AM150" s="240"/>
      <c r="AN150" s="240"/>
      <c r="AO150" s="240"/>
      <c r="AP150" s="240"/>
      <c r="AQ150" s="240"/>
      <c r="AR150" s="240"/>
      <c r="AS150" s="240"/>
      <c r="AT150" s="240"/>
      <c r="AU150" s="240"/>
      <c r="AV150" s="240"/>
      <c r="AW150" s="240"/>
      <c r="AX150" s="240"/>
      <c r="AY150" s="240"/>
      <c r="AZ150" s="240"/>
      <c r="BA150" s="240"/>
      <c r="BB150" s="240"/>
      <c r="BC150" s="240"/>
      <c r="BD150" s="240"/>
      <c r="BE150" s="240"/>
      <c r="BF150" s="240"/>
      <c r="BG150" s="240"/>
      <c r="BH150" s="240"/>
    </row>
    <row r="151" spans="2:60">
      <c r="B151" s="69">
        <f t="shared" si="163"/>
        <v>1</v>
      </c>
      <c r="C151" s="69">
        <f t="shared" si="138"/>
        <v>11</v>
      </c>
      <c r="D151" s="69" t="str">
        <f t="shared" si="164"/>
        <v>Ameren MI - Union</v>
      </c>
      <c r="E151" s="70">
        <v>2005</v>
      </c>
      <c r="F151" s="388">
        <v>740.8</v>
      </c>
      <c r="G151" s="76">
        <f t="shared" si="160"/>
        <v>0.31799988535163765</v>
      </c>
      <c r="H151" s="71"/>
      <c r="I151" s="71"/>
      <c r="J151" s="388">
        <v>10942.25712</v>
      </c>
      <c r="K151" s="76">
        <f>J151/$J$242</f>
        <v>1.2615787463832115E-2</v>
      </c>
      <c r="L151" s="76"/>
      <c r="M151" s="388">
        <v>2063631</v>
      </c>
      <c r="N151" s="388">
        <v>80159.309951755553</v>
      </c>
      <c r="O151" s="71">
        <f t="shared" si="161"/>
        <v>69217.052831755558</v>
      </c>
      <c r="P151" s="76">
        <f t="shared" si="165"/>
        <v>0.86349362130754781</v>
      </c>
      <c r="Q151" s="76">
        <f t="shared" si="166"/>
        <v>0.13650637869245219</v>
      </c>
      <c r="R151" s="126">
        <f t="shared" si="162"/>
        <v>0</v>
      </c>
      <c r="S151" s="126">
        <f t="shared" si="167"/>
        <v>0.13650637869245219</v>
      </c>
      <c r="T151" s="126">
        <f t="shared" si="167"/>
        <v>-0.13650637869245219</v>
      </c>
      <c r="U151" s="240"/>
      <c r="V151" s="240"/>
      <c r="W151" s="240"/>
      <c r="X151" s="240"/>
      <c r="Y151" s="240"/>
      <c r="Z151" s="240"/>
      <c r="AA151" s="240"/>
      <c r="AB151" s="240"/>
      <c r="AC151" s="240"/>
      <c r="AD151" s="240"/>
      <c r="AE151" s="240"/>
      <c r="AF151" s="240"/>
      <c r="AG151" s="240"/>
      <c r="AH151" s="240"/>
      <c r="AI151" s="240"/>
      <c r="AJ151" s="240"/>
      <c r="AK151" s="240"/>
      <c r="AL151" s="240"/>
      <c r="AM151" s="240"/>
      <c r="AN151" s="240"/>
      <c r="AO151" s="240"/>
      <c r="AP151" s="240"/>
      <c r="AQ151" s="240"/>
      <c r="AR151" s="240"/>
      <c r="AS151" s="240"/>
      <c r="AT151" s="240"/>
      <c r="AU151" s="240"/>
      <c r="AV151" s="240"/>
      <c r="AW151" s="240"/>
      <c r="AX151" s="240"/>
      <c r="AY151" s="240"/>
      <c r="AZ151" s="240"/>
      <c r="BA151" s="240"/>
      <c r="BB151" s="240"/>
      <c r="BC151" s="240"/>
      <c r="BD151" s="240"/>
      <c r="BE151" s="240"/>
      <c r="BF151" s="240"/>
      <c r="BG151" s="240"/>
      <c r="BH151" s="240"/>
    </row>
    <row r="152" spans="2:60">
      <c r="B152" s="69">
        <f t="shared" si="163"/>
        <v>1</v>
      </c>
      <c r="C152" s="69">
        <f t="shared" si="138"/>
        <v>11</v>
      </c>
      <c r="D152" s="69" t="str">
        <f t="shared" si="164"/>
        <v>Ameren MI - Union</v>
      </c>
      <c r="E152" s="70">
        <v>2006</v>
      </c>
      <c r="F152" s="388">
        <v>740.8</v>
      </c>
      <c r="G152" s="76">
        <f t="shared" si="160"/>
        <v>0.14724964126157578</v>
      </c>
      <c r="H152" s="71"/>
      <c r="I152" s="71"/>
      <c r="J152" s="388">
        <v>11099.22357</v>
      </c>
      <c r="K152" s="76">
        <f>J152/$J$243</f>
        <v>1.2151812615545083E-2</v>
      </c>
      <c r="L152" s="76"/>
      <c r="M152" s="388">
        <v>955563</v>
      </c>
      <c r="N152" s="388">
        <v>49249.163017113191</v>
      </c>
      <c r="O152" s="71">
        <f t="shared" si="161"/>
        <v>38149.939447113189</v>
      </c>
      <c r="P152" s="76">
        <f t="shared" si="165"/>
        <v>0.77463122436937204</v>
      </c>
      <c r="Q152" s="76">
        <f t="shared" si="166"/>
        <v>0.22536877563062796</v>
      </c>
      <c r="R152" s="126">
        <f t="shared" si="162"/>
        <v>0</v>
      </c>
      <c r="S152" s="126">
        <f t="shared" si="167"/>
        <v>0.22536877563062796</v>
      </c>
      <c r="T152" s="126">
        <f t="shared" si="167"/>
        <v>-0.22536877563062796</v>
      </c>
      <c r="U152" s="240"/>
      <c r="V152" s="240"/>
      <c r="W152" s="240"/>
      <c r="X152" s="240"/>
      <c r="Y152" s="240"/>
      <c r="Z152" s="240"/>
      <c r="AA152" s="240"/>
      <c r="AB152" s="240"/>
      <c r="AC152" s="240"/>
      <c r="AD152" s="240"/>
      <c r="AE152" s="240"/>
      <c r="AF152" s="240"/>
      <c r="AG152" s="240"/>
      <c r="AH152" s="240"/>
      <c r="AI152" s="240"/>
      <c r="AJ152" s="240"/>
      <c r="AK152" s="240"/>
      <c r="AL152" s="240"/>
      <c r="AM152" s="240"/>
      <c r="AN152" s="240"/>
      <c r="AO152" s="240"/>
      <c r="AP152" s="240"/>
      <c r="AQ152" s="240"/>
      <c r="AR152" s="240"/>
      <c r="AS152" s="240"/>
      <c r="AT152" s="240"/>
      <c r="AU152" s="240"/>
      <c r="AV152" s="240"/>
      <c r="AW152" s="240"/>
      <c r="AX152" s="240"/>
      <c r="AY152" s="240"/>
      <c r="AZ152" s="240"/>
      <c r="BA152" s="240"/>
      <c r="BB152" s="240"/>
      <c r="BC152" s="240"/>
      <c r="BD152" s="240"/>
      <c r="BE152" s="240"/>
      <c r="BF152" s="240"/>
      <c r="BG152" s="240"/>
      <c r="BH152" s="240"/>
    </row>
    <row r="153" spans="2:60">
      <c r="B153" s="69">
        <f t="shared" si="163"/>
        <v>1</v>
      </c>
      <c r="C153" s="69">
        <f t="shared" si="138"/>
        <v>11</v>
      </c>
      <c r="D153" s="69" t="str">
        <f t="shared" si="164"/>
        <v>Ameren MI - Union</v>
      </c>
      <c r="E153" s="70">
        <v>2007</v>
      </c>
      <c r="F153" s="388">
        <v>740.8</v>
      </c>
      <c r="G153" s="76">
        <f t="shared" si="160"/>
        <v>0.24530743020010454</v>
      </c>
      <c r="H153" s="71"/>
      <c r="I153" s="71"/>
      <c r="J153" s="388">
        <v>14224.347299999999</v>
      </c>
      <c r="K153" s="76">
        <f>J153/$J$244</f>
        <v>1.4299617562254174E-2</v>
      </c>
      <c r="L153" s="76"/>
      <c r="M153" s="388">
        <v>1591900</v>
      </c>
      <c r="N153" s="388">
        <v>92039.970250962069</v>
      </c>
      <c r="O153" s="71">
        <f t="shared" si="161"/>
        <v>77815.622950962075</v>
      </c>
      <c r="P153" s="76">
        <f t="shared" si="165"/>
        <v>0.84545467299462418</v>
      </c>
      <c r="Q153" s="76">
        <f t="shared" si="166"/>
        <v>0.15454532700537582</v>
      </c>
      <c r="R153" s="126">
        <f t="shared" si="162"/>
        <v>0</v>
      </c>
      <c r="S153" s="126">
        <f t="shared" si="167"/>
        <v>0.15454532700537582</v>
      </c>
      <c r="T153" s="126">
        <f t="shared" si="167"/>
        <v>-0.15454532700537582</v>
      </c>
      <c r="U153" s="240"/>
      <c r="V153" s="240"/>
      <c r="W153" s="240"/>
      <c r="X153" s="240"/>
      <c r="Y153" s="240"/>
      <c r="Z153" s="240"/>
      <c r="AA153" s="240"/>
      <c r="AB153" s="240"/>
      <c r="AC153" s="240"/>
      <c r="AD153" s="240"/>
      <c r="AE153" s="240"/>
      <c r="AF153" s="240"/>
      <c r="AG153" s="240"/>
      <c r="AH153" s="240"/>
      <c r="AI153" s="240"/>
      <c r="AJ153" s="240"/>
      <c r="AK153" s="240"/>
      <c r="AL153" s="240"/>
      <c r="AM153" s="240"/>
      <c r="AN153" s="240"/>
      <c r="AO153" s="240"/>
      <c r="AP153" s="240"/>
      <c r="AQ153" s="240"/>
      <c r="AR153" s="240"/>
      <c r="AS153" s="240"/>
      <c r="AT153" s="240"/>
      <c r="AU153" s="240"/>
      <c r="AV153" s="240"/>
      <c r="AW153" s="240"/>
      <c r="AX153" s="240"/>
      <c r="AY153" s="240"/>
      <c r="AZ153" s="240"/>
      <c r="BA153" s="240"/>
      <c r="BB153" s="240"/>
      <c r="BC153" s="240"/>
      <c r="BD153" s="240"/>
      <c r="BE153" s="240"/>
      <c r="BF153" s="240"/>
      <c r="BG153" s="240"/>
      <c r="BH153" s="240"/>
    </row>
    <row r="154" spans="2:60">
      <c r="B154" s="69">
        <f t="shared" si="163"/>
        <v>1</v>
      </c>
      <c r="C154" s="69">
        <f t="shared" si="138"/>
        <v>11</v>
      </c>
      <c r="D154" s="69" t="str">
        <f t="shared" si="164"/>
        <v>Ameren MI - Union</v>
      </c>
      <c r="E154" s="70">
        <v>2008</v>
      </c>
      <c r="F154" s="388">
        <v>740.8</v>
      </c>
      <c r="G154" s="76">
        <f t="shared" si="160"/>
        <v>0.26940593040228017</v>
      </c>
      <c r="H154" s="71"/>
      <c r="I154" s="71"/>
      <c r="J154" s="388">
        <v>17774.182649999999</v>
      </c>
      <c r="K154" s="76">
        <f>J154/$J$245</f>
        <v>1.6404369045332455E-2</v>
      </c>
      <c r="L154" s="76"/>
      <c r="M154" s="388">
        <v>1748285</v>
      </c>
      <c r="N154" s="388">
        <v>105556.85095165207</v>
      </c>
      <c r="O154" s="71">
        <f t="shared" si="161"/>
        <v>87782.668301652069</v>
      </c>
      <c r="P154" s="76">
        <f t="shared" si="165"/>
        <v>0.83161507292273185</v>
      </c>
      <c r="Q154" s="76">
        <f t="shared" si="166"/>
        <v>0.16838492707726815</v>
      </c>
      <c r="R154" s="126">
        <f t="shared" si="162"/>
        <v>0</v>
      </c>
      <c r="S154" s="126">
        <f t="shared" si="167"/>
        <v>0.16838492707726815</v>
      </c>
      <c r="T154" s="126">
        <f t="shared" si="167"/>
        <v>-0.16838492707726815</v>
      </c>
      <c r="U154" s="240"/>
      <c r="V154" s="240"/>
      <c r="W154" s="240"/>
      <c r="X154" s="240"/>
      <c r="Y154" s="240"/>
      <c r="Z154" s="240"/>
      <c r="AA154" s="240"/>
      <c r="AB154" s="240"/>
      <c r="AC154" s="240"/>
      <c r="AD154" s="240"/>
      <c r="AE154" s="240"/>
      <c r="AF154" s="240"/>
      <c r="AG154" s="240"/>
      <c r="AH154" s="240"/>
      <c r="AI154" s="240"/>
      <c r="AJ154" s="240"/>
      <c r="AK154" s="240"/>
      <c r="AL154" s="240"/>
      <c r="AM154" s="240"/>
      <c r="AN154" s="240"/>
      <c r="AO154" s="240"/>
      <c r="AP154" s="240"/>
      <c r="AQ154" s="240"/>
      <c r="AR154" s="240"/>
      <c r="AS154" s="240"/>
      <c r="AT154" s="240"/>
      <c r="AU154" s="240"/>
      <c r="AV154" s="240"/>
      <c r="AW154" s="240"/>
      <c r="AX154" s="240"/>
      <c r="AY154" s="240"/>
      <c r="AZ154" s="240"/>
      <c r="BA154" s="240"/>
      <c r="BB154" s="240"/>
      <c r="BC154" s="240"/>
      <c r="BD154" s="240"/>
      <c r="BE154" s="240"/>
      <c r="BF154" s="240"/>
      <c r="BG154" s="240"/>
      <c r="BH154" s="240"/>
    </row>
    <row r="155" spans="2:60">
      <c r="B155" s="69">
        <f t="shared" si="163"/>
        <v>1</v>
      </c>
      <c r="C155" s="69">
        <f t="shared" si="138"/>
        <v>11</v>
      </c>
      <c r="D155" s="69" t="str">
        <f t="shared" si="164"/>
        <v>Ameren MI - Union</v>
      </c>
      <c r="E155" s="70">
        <v>2009</v>
      </c>
      <c r="F155" s="388">
        <v>779.01</v>
      </c>
      <c r="G155" s="76">
        <f t="shared" si="160"/>
        <v>0.27885776930665834</v>
      </c>
      <c r="H155" s="71"/>
      <c r="I155" s="71"/>
      <c r="J155" s="388">
        <v>19717.80528</v>
      </c>
      <c r="K155" s="76">
        <f>J155/$J$246</f>
        <v>1.8370047784175548E-2</v>
      </c>
      <c r="L155" s="76"/>
      <c r="M155" s="388">
        <v>1902961</v>
      </c>
      <c r="N155" s="388">
        <v>57506.740006502856</v>
      </c>
      <c r="O155" s="71">
        <f t="shared" si="161"/>
        <v>37788.934726502855</v>
      </c>
      <c r="P155" s="76">
        <f t="shared" si="165"/>
        <v>0.65712183862673634</v>
      </c>
      <c r="Q155" s="76">
        <f t="shared" si="166"/>
        <v>0.34287816137326366</v>
      </c>
      <c r="R155" s="126">
        <f t="shared" si="162"/>
        <v>0</v>
      </c>
      <c r="S155" s="126">
        <f t="shared" si="167"/>
        <v>0.34287816137326366</v>
      </c>
      <c r="T155" s="126">
        <f t="shared" si="167"/>
        <v>-0.34287816137326366</v>
      </c>
      <c r="U155" s="240"/>
      <c r="V155" s="240"/>
      <c r="W155" s="240"/>
      <c r="X155" s="240"/>
      <c r="Y155" s="240"/>
      <c r="Z155" s="240"/>
      <c r="AA155" s="240"/>
      <c r="AB155" s="240"/>
      <c r="AC155" s="240"/>
      <c r="AD155" s="240"/>
      <c r="AE155" s="240"/>
      <c r="AF155" s="240"/>
      <c r="AG155" s="240"/>
      <c r="AH155" s="240"/>
      <c r="AI155" s="240"/>
      <c r="AJ155" s="240"/>
      <c r="AK155" s="240"/>
      <c r="AL155" s="240"/>
      <c r="AM155" s="240"/>
      <c r="AN155" s="240"/>
      <c r="AO155" s="240"/>
      <c r="AP155" s="240"/>
      <c r="AQ155" s="240"/>
      <c r="AR155" s="240"/>
      <c r="AS155" s="240"/>
      <c r="AT155" s="240"/>
      <c r="AU155" s="240"/>
      <c r="AV155" s="240"/>
      <c r="AW155" s="240"/>
      <c r="AX155" s="240"/>
      <c r="AY155" s="240"/>
      <c r="AZ155" s="240"/>
      <c r="BA155" s="240"/>
      <c r="BB155" s="240"/>
      <c r="BC155" s="240"/>
      <c r="BD155" s="240"/>
      <c r="BE155" s="240"/>
      <c r="BF155" s="240"/>
      <c r="BG155" s="240"/>
      <c r="BH155" s="240"/>
    </row>
    <row r="156" spans="2:60">
      <c r="B156" s="69">
        <f t="shared" si="163"/>
        <v>1</v>
      </c>
      <c r="C156" s="69">
        <f t="shared" si="138"/>
        <v>11</v>
      </c>
      <c r="D156" s="69" t="str">
        <f t="shared" si="164"/>
        <v>Ameren MI - Union</v>
      </c>
      <c r="E156" s="70">
        <v>2010</v>
      </c>
      <c r="F156" s="388">
        <v>779.01</v>
      </c>
      <c r="G156" s="76">
        <f t="shared" si="160"/>
        <v>0.31541042696798344</v>
      </c>
      <c r="H156" s="71"/>
      <c r="I156" s="71"/>
      <c r="J156" s="388">
        <v>23105.743109999999</v>
      </c>
      <c r="K156" s="76">
        <f>J156/$J$247</f>
        <v>2.0043620438235779E-2</v>
      </c>
      <c r="L156" s="76"/>
      <c r="M156" s="388">
        <v>2152401</v>
      </c>
      <c r="N156" s="388">
        <v>82083.106805517862</v>
      </c>
      <c r="O156" s="71">
        <f t="shared" si="161"/>
        <v>58977.363695517866</v>
      </c>
      <c r="P156" s="76">
        <f t="shared" si="165"/>
        <v>0.71850793653869394</v>
      </c>
      <c r="Q156" s="76">
        <f t="shared" si="166"/>
        <v>0.28149206346130606</v>
      </c>
      <c r="R156" s="126">
        <f t="shared" si="162"/>
        <v>0</v>
      </c>
      <c r="S156" s="126">
        <f t="shared" si="167"/>
        <v>0.28149206346130606</v>
      </c>
      <c r="T156" s="126">
        <f t="shared" si="167"/>
        <v>-0.28149206346130606</v>
      </c>
      <c r="U156" s="240"/>
      <c r="V156" s="240"/>
      <c r="W156" s="240"/>
      <c r="X156" s="240"/>
      <c r="Y156" s="240"/>
      <c r="Z156" s="240"/>
      <c r="AA156" s="240"/>
      <c r="AB156" s="240"/>
      <c r="AC156" s="240"/>
      <c r="AD156" s="240"/>
      <c r="AE156" s="240"/>
      <c r="AF156" s="240"/>
      <c r="AG156" s="240"/>
      <c r="AH156" s="240"/>
      <c r="AI156" s="240"/>
      <c r="AJ156" s="240"/>
      <c r="AK156" s="240"/>
      <c r="AL156" s="240"/>
      <c r="AM156" s="240"/>
      <c r="AN156" s="240"/>
      <c r="AO156" s="240"/>
      <c r="AP156" s="240"/>
      <c r="AQ156" s="240"/>
      <c r="AR156" s="240"/>
      <c r="AS156" s="240"/>
      <c r="AT156" s="240"/>
      <c r="AU156" s="240"/>
      <c r="AV156" s="240"/>
      <c r="AW156" s="240"/>
      <c r="AX156" s="240"/>
      <c r="AY156" s="240"/>
      <c r="AZ156" s="240"/>
      <c r="BA156" s="240"/>
      <c r="BB156" s="240"/>
      <c r="BC156" s="240"/>
      <c r="BD156" s="240"/>
      <c r="BE156" s="240"/>
      <c r="BF156" s="240"/>
      <c r="BG156" s="240"/>
      <c r="BH156" s="240"/>
    </row>
    <row r="157" spans="2:60">
      <c r="B157" s="69">
        <f t="shared" si="163"/>
        <v>1</v>
      </c>
      <c r="C157" s="69">
        <f t="shared" si="138"/>
        <v>11</v>
      </c>
      <c r="D157" s="69" t="str">
        <f t="shared" ref="D157:D160" si="168">D156</f>
        <v>Ameren MI - Union</v>
      </c>
      <c r="E157" s="70">
        <v>2011</v>
      </c>
      <c r="F157" s="388">
        <v>779.01</v>
      </c>
      <c r="G157" s="76">
        <f t="shared" si="160"/>
        <v>0.25729823692042336</v>
      </c>
      <c r="H157" s="71"/>
      <c r="I157" s="71"/>
      <c r="J157" s="388">
        <v>14684.47431</v>
      </c>
      <c r="K157" s="76">
        <f>J157/$J$248</f>
        <v>1.2764051297470446E-2</v>
      </c>
      <c r="L157" s="76"/>
      <c r="M157" s="388">
        <v>1755836</v>
      </c>
      <c r="N157" s="388">
        <v>47789.510984207715</v>
      </c>
      <c r="O157" s="71">
        <f t="shared" si="161"/>
        <v>33105.036674207717</v>
      </c>
      <c r="P157" s="76">
        <f t="shared" si="165"/>
        <v>0.69272599765976772</v>
      </c>
      <c r="Q157" s="76">
        <f t="shared" si="166"/>
        <v>0.30727400234023228</v>
      </c>
      <c r="R157" s="126">
        <f t="shared" si="162"/>
        <v>0</v>
      </c>
      <c r="S157" s="126">
        <f t="shared" si="167"/>
        <v>0.30727400234023228</v>
      </c>
      <c r="T157" s="126">
        <f t="shared" si="167"/>
        <v>-0.30727400234023228</v>
      </c>
      <c r="U157" s="240"/>
      <c r="V157" s="240"/>
      <c r="W157" s="240"/>
      <c r="X157" s="240"/>
      <c r="Y157" s="240"/>
      <c r="Z157" s="240"/>
      <c r="AA157" s="240"/>
      <c r="AB157" s="240"/>
      <c r="AC157" s="240"/>
      <c r="AD157" s="240"/>
      <c r="AE157" s="240"/>
      <c r="AF157" s="240"/>
      <c r="AG157" s="240"/>
      <c r="AH157" s="240"/>
      <c r="AI157" s="240"/>
      <c r="AJ157" s="240"/>
      <c r="AK157" s="240"/>
      <c r="AL157" s="240"/>
      <c r="AM157" s="240"/>
      <c r="AN157" s="240"/>
      <c r="AO157" s="240"/>
      <c r="AP157" s="240"/>
      <c r="AQ157" s="240"/>
      <c r="AR157" s="240"/>
      <c r="AS157" s="240"/>
      <c r="AT157" s="240"/>
      <c r="AU157" s="240"/>
      <c r="AV157" s="240"/>
      <c r="AW157" s="240"/>
      <c r="AX157" s="240"/>
      <c r="AY157" s="240"/>
      <c r="AZ157" s="240"/>
      <c r="BA157" s="240"/>
      <c r="BB157" s="240"/>
      <c r="BC157" s="240"/>
      <c r="BD157" s="240"/>
      <c r="BE157" s="240"/>
      <c r="BF157" s="240"/>
      <c r="BG157" s="240"/>
      <c r="BH157" s="240"/>
    </row>
    <row r="158" spans="2:60">
      <c r="B158" s="69">
        <f t="shared" si="163"/>
        <v>1</v>
      </c>
      <c r="C158" s="69">
        <f t="shared" si="138"/>
        <v>11</v>
      </c>
      <c r="D158" s="69" t="str">
        <f t="shared" si="168"/>
        <v>Ameren MI - Union</v>
      </c>
      <c r="E158" s="70">
        <v>2012</v>
      </c>
      <c r="F158" s="388">
        <v>779.01</v>
      </c>
      <c r="G158" s="76">
        <f t="shared" si="160"/>
        <v>0.1930369824854975</v>
      </c>
      <c r="H158" s="71"/>
      <c r="I158" s="71"/>
      <c r="J158" s="388">
        <v>14202.07323</v>
      </c>
      <c r="K158" s="76">
        <f>J158/$J$249</f>
        <v>1.1966529008193843E-2</v>
      </c>
      <c r="L158" s="76"/>
      <c r="M158" s="388">
        <v>1317309</v>
      </c>
      <c r="N158" s="388">
        <v>29443.173896585093</v>
      </c>
      <c r="O158" s="71">
        <f t="shared" si="161"/>
        <v>15241.100666585093</v>
      </c>
      <c r="P158" s="76">
        <f t="shared" si="165"/>
        <v>0.5176446235082286</v>
      </c>
      <c r="Q158" s="76">
        <f t="shared" si="166"/>
        <v>0.4823553764917714</v>
      </c>
      <c r="R158" s="126">
        <f t="shared" si="162"/>
        <v>0</v>
      </c>
      <c r="S158" s="126">
        <f t="shared" si="167"/>
        <v>0.4823553764917714</v>
      </c>
      <c r="T158" s="126">
        <f t="shared" si="167"/>
        <v>-0.4823553764917714</v>
      </c>
      <c r="U158" s="240"/>
      <c r="V158" s="240"/>
      <c r="W158" s="240"/>
      <c r="X158" s="240"/>
      <c r="Y158" s="240"/>
      <c r="Z158" s="240"/>
      <c r="AA158" s="240"/>
      <c r="AB158" s="240"/>
      <c r="AC158" s="240"/>
      <c r="AD158" s="240"/>
      <c r="AE158" s="240"/>
      <c r="AF158" s="240"/>
      <c r="AG158" s="240"/>
      <c r="AH158" s="240"/>
      <c r="AI158" s="240"/>
      <c r="AJ158" s="240"/>
      <c r="AK158" s="240"/>
      <c r="AL158" s="240"/>
      <c r="AM158" s="240"/>
      <c r="AN158" s="240"/>
      <c r="AO158" s="240"/>
      <c r="AP158" s="240"/>
      <c r="AQ158" s="240"/>
      <c r="AR158" s="240"/>
      <c r="AS158" s="240"/>
      <c r="AT158" s="240"/>
      <c r="AU158" s="240"/>
      <c r="AV158" s="240"/>
      <c r="AW158" s="240"/>
      <c r="AX158" s="240"/>
      <c r="AY158" s="240"/>
      <c r="AZ158" s="240"/>
      <c r="BA158" s="240"/>
      <c r="BB158" s="240"/>
      <c r="BC158" s="240"/>
      <c r="BD158" s="240"/>
      <c r="BE158" s="240"/>
      <c r="BF158" s="240"/>
      <c r="BG158" s="240"/>
      <c r="BH158" s="240"/>
    </row>
    <row r="159" spans="2:60">
      <c r="B159" s="69">
        <f t="shared" si="163"/>
        <v>1</v>
      </c>
      <c r="C159" s="69">
        <f t="shared" si="138"/>
        <v>11</v>
      </c>
      <c r="D159" s="69" t="str">
        <f t="shared" si="168"/>
        <v>Ameren MI - Union</v>
      </c>
      <c r="E159" s="70">
        <v>2013</v>
      </c>
      <c r="F159" s="388">
        <v>779.01</v>
      </c>
      <c r="G159" s="76">
        <f t="shared" si="160"/>
        <v>0.24429056689971626</v>
      </c>
      <c r="H159" s="69"/>
      <c r="I159" s="69"/>
      <c r="J159" s="388">
        <v>15495.180840000001</v>
      </c>
      <c r="K159" s="76">
        <f>J159/$J$250</f>
        <v>1.3205774928737705E-2</v>
      </c>
      <c r="L159" s="69"/>
      <c r="M159" s="388">
        <v>1667070</v>
      </c>
      <c r="N159" s="388">
        <v>48905.954600372563</v>
      </c>
      <c r="O159" s="71">
        <f t="shared" ref="O159:O160" si="169">N159-J159</f>
        <v>33410.773760372562</v>
      </c>
      <c r="P159" s="76">
        <f t="shared" ref="P159:P160" si="170">O159/N159</f>
        <v>0.6831637176573595</v>
      </c>
      <c r="Q159" s="76">
        <f t="shared" ref="Q159:Q160" si="171">1-P159</f>
        <v>0.3168362823426405</v>
      </c>
      <c r="R159" s="126">
        <f t="shared" ref="R159:R160" si="172">Q159*L159</f>
        <v>0</v>
      </c>
      <c r="S159" s="126">
        <f t="shared" ref="S159:S160" si="173">Q159-R159</f>
        <v>0.3168362823426405</v>
      </c>
      <c r="T159" s="126">
        <f t="shared" ref="T159:T160" si="174">R159-S159</f>
        <v>-0.3168362823426405</v>
      </c>
      <c r="U159" s="240"/>
      <c r="V159" s="240"/>
      <c r="W159" s="240"/>
      <c r="X159" s="240"/>
      <c r="Y159" s="240"/>
      <c r="Z159" s="240"/>
      <c r="AA159" s="240"/>
      <c r="AB159" s="240"/>
      <c r="AC159" s="240"/>
      <c r="AD159" s="240"/>
      <c r="AE159" s="240"/>
      <c r="AF159" s="240"/>
      <c r="AG159" s="240"/>
      <c r="AH159" s="240"/>
      <c r="AI159" s="240"/>
      <c r="AJ159" s="240"/>
      <c r="AK159" s="240"/>
      <c r="AL159" s="240"/>
      <c r="AM159" s="240"/>
      <c r="AN159" s="240"/>
      <c r="AO159" s="240"/>
      <c r="AP159" s="240"/>
      <c r="AQ159" s="240"/>
      <c r="AR159" s="240"/>
      <c r="AS159" s="240"/>
      <c r="AT159" s="240"/>
      <c r="AU159" s="240"/>
      <c r="AV159" s="240"/>
      <c r="AW159" s="240"/>
      <c r="AX159" s="240"/>
      <c r="AY159" s="240"/>
      <c r="AZ159" s="240"/>
      <c r="BA159" s="240"/>
      <c r="BB159" s="240"/>
      <c r="BC159" s="240"/>
      <c r="BD159" s="240"/>
      <c r="BE159" s="240"/>
      <c r="BF159" s="240"/>
      <c r="BG159" s="240"/>
      <c r="BH159" s="240"/>
    </row>
    <row r="160" spans="2:60">
      <c r="B160" s="69">
        <f t="shared" si="163"/>
        <v>1</v>
      </c>
      <c r="C160" s="69">
        <f t="shared" si="138"/>
        <v>11</v>
      </c>
      <c r="D160" s="69" t="str">
        <f t="shared" si="168"/>
        <v>Ameren MI - Union</v>
      </c>
      <c r="E160" s="70">
        <v>2014</v>
      </c>
      <c r="F160" s="388">
        <v>903.5</v>
      </c>
      <c r="G160" s="76">
        <f t="shared" si="160"/>
        <v>0.18112123578271208</v>
      </c>
      <c r="H160" s="69"/>
      <c r="I160" s="69"/>
      <c r="J160" s="388">
        <v>15384.76251</v>
      </c>
      <c r="K160" s="76">
        <f>J160/$J$251</f>
        <v>1.278102008788623E-2</v>
      </c>
      <c r="L160" s="69"/>
      <c r="M160" s="388">
        <v>1433513</v>
      </c>
      <c r="N160" s="388">
        <v>41232.024326793427</v>
      </c>
      <c r="O160" s="71">
        <f t="shared" si="169"/>
        <v>25847.261816793427</v>
      </c>
      <c r="P160" s="76">
        <f t="shared" si="170"/>
        <v>0.62687346155830959</v>
      </c>
      <c r="Q160" s="76">
        <f t="shared" si="171"/>
        <v>0.37312653844169041</v>
      </c>
      <c r="R160" s="126">
        <f t="shared" si="172"/>
        <v>0</v>
      </c>
      <c r="S160" s="126">
        <f t="shared" si="173"/>
        <v>0.37312653844169041</v>
      </c>
      <c r="T160" s="126">
        <f t="shared" si="174"/>
        <v>-0.37312653844169041</v>
      </c>
      <c r="U160" s="240"/>
      <c r="V160" s="240"/>
      <c r="W160" s="240"/>
      <c r="X160" s="240"/>
      <c r="Y160" s="240"/>
      <c r="Z160" s="240"/>
      <c r="AA160" s="240"/>
      <c r="AB160" s="240"/>
      <c r="AC160" s="240"/>
      <c r="AD160" s="240"/>
      <c r="AE160" s="240"/>
      <c r="AF160" s="240"/>
      <c r="AG160" s="240"/>
      <c r="AH160" s="240"/>
      <c r="AI160" s="240"/>
      <c r="AJ160" s="240"/>
      <c r="AK160" s="240"/>
      <c r="AL160" s="240"/>
      <c r="AM160" s="240"/>
      <c r="AN160" s="240"/>
      <c r="AO160" s="240"/>
      <c r="AP160" s="240"/>
      <c r="AQ160" s="240"/>
      <c r="AR160" s="240"/>
      <c r="AS160" s="240"/>
      <c r="AT160" s="240"/>
      <c r="AU160" s="240"/>
      <c r="AV160" s="240"/>
      <c r="AW160" s="240"/>
      <c r="AX160" s="240"/>
      <c r="AY160" s="240"/>
      <c r="AZ160" s="240"/>
      <c r="BA160" s="240"/>
      <c r="BB160" s="240"/>
      <c r="BC160" s="240"/>
      <c r="BD160" s="240"/>
      <c r="BE160" s="240"/>
      <c r="BF160" s="240"/>
      <c r="BG160" s="240"/>
      <c r="BH160" s="240"/>
    </row>
    <row r="161" spans="2:60">
      <c r="B161" s="72">
        <f>'OPG hydro peers'!B16</f>
        <v>1</v>
      </c>
      <c r="C161" s="72">
        <f t="shared" si="138"/>
        <v>12</v>
      </c>
      <c r="D161" s="72" t="str">
        <f>'OPG hydro peers'!D16</f>
        <v>AP Power</v>
      </c>
      <c r="E161" s="73">
        <v>2002</v>
      </c>
      <c r="F161" s="390">
        <v>739.7</v>
      </c>
      <c r="G161" s="75">
        <f t="shared" ref="G161:G173" si="175">M161/(F161*8760)</f>
        <v>0.15075005725510096</v>
      </c>
      <c r="H161" s="127"/>
      <c r="I161" s="127"/>
      <c r="J161" s="389">
        <v>21647.322270000001</v>
      </c>
      <c r="K161" s="75">
        <f>J161/$J$239</f>
        <v>3.041356244480193E-2</v>
      </c>
      <c r="L161" s="75"/>
      <c r="M161" s="390">
        <v>976826</v>
      </c>
      <c r="N161" s="389">
        <v>29570.549420331001</v>
      </c>
      <c r="O161" s="127">
        <f t="shared" ref="O161:O171" si="176">N161-J161</f>
        <v>7923.2271503310003</v>
      </c>
      <c r="P161" s="75">
        <f>O161/N161</f>
        <v>0.26794318352717</v>
      </c>
      <c r="Q161" s="75">
        <f>1-P161</f>
        <v>0.73205681647283005</v>
      </c>
      <c r="R161" s="125">
        <f t="shared" ref="R161:R171" si="177">Q161*L161</f>
        <v>0</v>
      </c>
      <c r="S161" s="125">
        <f>Q161-R161</f>
        <v>0.73205681647283005</v>
      </c>
      <c r="T161" s="125">
        <f>R161-S161</f>
        <v>-0.73205681647283005</v>
      </c>
      <c r="U161" s="240"/>
      <c r="V161" s="240"/>
      <c r="W161" s="240"/>
      <c r="X161" s="240"/>
      <c r="Y161" s="240"/>
      <c r="Z161" s="240"/>
      <c r="AA161" s="240"/>
      <c r="AB161" s="240"/>
      <c r="AC161" s="240"/>
      <c r="AD161" s="240"/>
      <c r="AE161" s="240"/>
      <c r="AF161" s="240"/>
      <c r="AG161" s="240"/>
      <c r="AH161" s="240"/>
      <c r="AI161" s="240"/>
      <c r="AJ161" s="240"/>
      <c r="AK161" s="240"/>
      <c r="AL161" s="240"/>
      <c r="AM161" s="240"/>
      <c r="AN161" s="240"/>
      <c r="AO161" s="240"/>
      <c r="AP161" s="240"/>
      <c r="AQ161" s="240"/>
      <c r="AR161" s="240"/>
      <c r="AS161" s="240"/>
      <c r="AT161" s="240"/>
      <c r="AU161" s="240"/>
      <c r="AV161" s="240"/>
      <c r="AW161" s="240"/>
      <c r="AX161" s="240"/>
      <c r="AY161" s="240"/>
      <c r="AZ161" s="240"/>
      <c r="BA161" s="240"/>
      <c r="BB161" s="240"/>
      <c r="BC161" s="240"/>
      <c r="BD161" s="240"/>
      <c r="BE161" s="240"/>
      <c r="BF161" s="240"/>
      <c r="BG161" s="240"/>
      <c r="BH161" s="240"/>
    </row>
    <row r="162" spans="2:60">
      <c r="B162" s="72">
        <f t="shared" ref="B162:B173" si="178">B161</f>
        <v>1</v>
      </c>
      <c r="C162" s="72">
        <f t="shared" si="138"/>
        <v>12</v>
      </c>
      <c r="D162" s="72" t="str">
        <f t="shared" ref="D162:D173" si="179">D161</f>
        <v>AP Power</v>
      </c>
      <c r="E162" s="73">
        <v>2003</v>
      </c>
      <c r="F162" s="390">
        <v>739.7</v>
      </c>
      <c r="G162" s="75">
        <f t="shared" si="175"/>
        <v>0.23197282250054477</v>
      </c>
      <c r="H162" s="127"/>
      <c r="I162" s="127"/>
      <c r="J162" s="389">
        <v>19106.29233</v>
      </c>
      <c r="K162" s="75">
        <f>J162/$J$240</f>
        <v>2.3978619454997206E-2</v>
      </c>
      <c r="L162" s="75"/>
      <c r="M162" s="390">
        <v>1503131</v>
      </c>
      <c r="N162" s="389">
        <v>65870.076629178002</v>
      </c>
      <c r="O162" s="127">
        <f t="shared" si="176"/>
        <v>46763.784299178005</v>
      </c>
      <c r="P162" s="75">
        <f t="shared" ref="P162:P172" si="180">O162/N162</f>
        <v>0.7099397282082921</v>
      </c>
      <c r="Q162" s="75">
        <f t="shared" ref="Q162:Q171" si="181">1-P162</f>
        <v>0.2900602717917079</v>
      </c>
      <c r="R162" s="125">
        <f t="shared" si="177"/>
        <v>0</v>
      </c>
      <c r="S162" s="125">
        <f t="shared" ref="S162:T171" si="182">Q162-R162</f>
        <v>0.2900602717917079</v>
      </c>
      <c r="T162" s="125">
        <f t="shared" si="182"/>
        <v>-0.2900602717917079</v>
      </c>
      <c r="U162" s="240"/>
      <c r="V162" s="240"/>
      <c r="W162" s="240"/>
      <c r="X162" s="240"/>
      <c r="Y162" s="240"/>
      <c r="Z162" s="240"/>
      <c r="AA162" s="240"/>
      <c r="AB162" s="240"/>
      <c r="AC162" s="240"/>
      <c r="AD162" s="240"/>
      <c r="AE162" s="240"/>
      <c r="AF162" s="240"/>
      <c r="AG162" s="240"/>
      <c r="AH162" s="240"/>
      <c r="AI162" s="240"/>
      <c r="AJ162" s="240"/>
      <c r="AK162" s="240"/>
      <c r="AL162" s="240"/>
      <c r="AM162" s="240"/>
      <c r="AN162" s="240"/>
      <c r="AO162" s="240"/>
      <c r="AP162" s="240"/>
      <c r="AQ162" s="240"/>
      <c r="AR162" s="240"/>
      <c r="AS162" s="240"/>
      <c r="AT162" s="240"/>
      <c r="AU162" s="240"/>
      <c r="AV162" s="240"/>
      <c r="AW162" s="240"/>
      <c r="AX162" s="240"/>
      <c r="AY162" s="240"/>
      <c r="AZ162" s="240"/>
      <c r="BA162" s="240"/>
      <c r="BB162" s="240"/>
      <c r="BC162" s="240"/>
      <c r="BD162" s="240"/>
      <c r="BE162" s="240"/>
      <c r="BF162" s="240"/>
      <c r="BG162" s="240"/>
      <c r="BH162" s="240"/>
    </row>
    <row r="163" spans="2:60">
      <c r="B163" s="72">
        <f t="shared" si="178"/>
        <v>1</v>
      </c>
      <c r="C163" s="72">
        <f t="shared" si="138"/>
        <v>12</v>
      </c>
      <c r="D163" s="72" t="str">
        <f t="shared" si="179"/>
        <v>AP Power</v>
      </c>
      <c r="E163" s="73">
        <v>2004</v>
      </c>
      <c r="F163" s="390">
        <v>739.7</v>
      </c>
      <c r="G163" s="75">
        <f t="shared" si="175"/>
        <v>0.20261175856187533</v>
      </c>
      <c r="H163" s="127"/>
      <c r="I163" s="127"/>
      <c r="J163" s="389">
        <v>22360.681680000002</v>
      </c>
      <c r="K163" s="75">
        <f>J163/$J$241</f>
        <v>2.7225296114378333E-2</v>
      </c>
      <c r="L163" s="75"/>
      <c r="M163" s="390">
        <v>1312878</v>
      </c>
      <c r="N163" s="389">
        <v>62736.493730012851</v>
      </c>
      <c r="O163" s="127">
        <f t="shared" si="176"/>
        <v>40375.81205001285</v>
      </c>
      <c r="P163" s="75">
        <f t="shared" si="180"/>
        <v>0.64357775912327164</v>
      </c>
      <c r="Q163" s="75">
        <f t="shared" si="181"/>
        <v>0.35642224087672836</v>
      </c>
      <c r="R163" s="125">
        <f t="shared" si="177"/>
        <v>0</v>
      </c>
      <c r="S163" s="125">
        <f t="shared" si="182"/>
        <v>0.35642224087672836</v>
      </c>
      <c r="T163" s="125">
        <f t="shared" si="182"/>
        <v>-0.35642224087672836</v>
      </c>
      <c r="U163" s="240"/>
      <c r="V163" s="240"/>
      <c r="W163" s="240"/>
      <c r="X163" s="240"/>
      <c r="Y163" s="240"/>
      <c r="Z163" s="240"/>
      <c r="AA163" s="240"/>
      <c r="AB163" s="240"/>
      <c r="AC163" s="240"/>
      <c r="AD163" s="240"/>
      <c r="AE163" s="240"/>
      <c r="AF163" s="240"/>
      <c r="AG163" s="240"/>
      <c r="AH163" s="240"/>
      <c r="AI163" s="240"/>
      <c r="AJ163" s="240"/>
      <c r="AK163" s="240"/>
      <c r="AL163" s="240"/>
      <c r="AM163" s="240"/>
      <c r="AN163" s="240"/>
      <c r="AO163" s="240"/>
      <c r="AP163" s="240"/>
      <c r="AQ163" s="240"/>
      <c r="AR163" s="240"/>
      <c r="AS163" s="240"/>
      <c r="AT163" s="240"/>
      <c r="AU163" s="240"/>
      <c r="AV163" s="240"/>
      <c r="AW163" s="240"/>
      <c r="AX163" s="240"/>
      <c r="AY163" s="240"/>
      <c r="AZ163" s="240"/>
      <c r="BA163" s="240"/>
      <c r="BB163" s="240"/>
      <c r="BC163" s="240"/>
      <c r="BD163" s="240"/>
      <c r="BE163" s="240"/>
      <c r="BF163" s="240"/>
      <c r="BG163" s="240"/>
      <c r="BH163" s="240"/>
    </row>
    <row r="164" spans="2:60">
      <c r="B164" s="72">
        <f t="shared" si="178"/>
        <v>1</v>
      </c>
      <c r="C164" s="72">
        <f t="shared" si="138"/>
        <v>12</v>
      </c>
      <c r="D164" s="72" t="str">
        <f t="shared" si="179"/>
        <v>AP Power</v>
      </c>
      <c r="E164" s="73">
        <v>2005</v>
      </c>
      <c r="F164" s="390">
        <v>739.7</v>
      </c>
      <c r="G164" s="75">
        <f t="shared" si="175"/>
        <v>0.20179105067277059</v>
      </c>
      <c r="H164" s="127"/>
      <c r="I164" s="127"/>
      <c r="J164" s="389">
        <v>32823.90423</v>
      </c>
      <c r="K164" s="75">
        <f>J164/$J$242</f>
        <v>3.784405675699018E-2</v>
      </c>
      <c r="L164" s="75"/>
      <c r="M164" s="390">
        <v>1307560</v>
      </c>
      <c r="N164" s="389">
        <v>68664.610685626802</v>
      </c>
      <c r="O164" s="127">
        <f t="shared" si="176"/>
        <v>35840.706455626801</v>
      </c>
      <c r="P164" s="75">
        <f t="shared" si="180"/>
        <v>0.52196766424147434</v>
      </c>
      <c r="Q164" s="75">
        <f t="shared" si="181"/>
        <v>0.47803233575852566</v>
      </c>
      <c r="R164" s="125">
        <f t="shared" si="177"/>
        <v>0</v>
      </c>
      <c r="S164" s="125">
        <f t="shared" si="182"/>
        <v>0.47803233575852566</v>
      </c>
      <c r="T164" s="125">
        <f t="shared" si="182"/>
        <v>-0.47803233575852566</v>
      </c>
      <c r="U164" s="240"/>
      <c r="V164" s="240"/>
      <c r="W164" s="240"/>
      <c r="X164" s="240"/>
      <c r="Y164" s="240"/>
      <c r="Z164" s="240"/>
      <c r="AA164" s="240"/>
      <c r="AB164" s="240"/>
      <c r="AC164" s="240"/>
      <c r="AD164" s="240"/>
      <c r="AE164" s="240"/>
      <c r="AF164" s="240"/>
      <c r="AG164" s="240"/>
      <c r="AH164" s="240"/>
      <c r="AI164" s="240"/>
      <c r="AJ164" s="240"/>
      <c r="AK164" s="240"/>
      <c r="AL164" s="240"/>
      <c r="AM164" s="240"/>
      <c r="AN164" s="240"/>
      <c r="AO164" s="240"/>
      <c r="AP164" s="240"/>
      <c r="AQ164" s="240"/>
      <c r="AR164" s="240"/>
      <c r="AS164" s="240"/>
      <c r="AT164" s="240"/>
      <c r="AU164" s="240"/>
      <c r="AV164" s="240"/>
      <c r="AW164" s="240"/>
      <c r="AX164" s="240"/>
      <c r="AY164" s="240"/>
      <c r="AZ164" s="240"/>
      <c r="BA164" s="240"/>
      <c r="BB164" s="240"/>
      <c r="BC164" s="240"/>
      <c r="BD164" s="240"/>
      <c r="BE164" s="240"/>
      <c r="BF164" s="240"/>
      <c r="BG164" s="240"/>
      <c r="BH164" s="240"/>
    </row>
    <row r="165" spans="2:60">
      <c r="B165" s="72">
        <f t="shared" si="178"/>
        <v>1</v>
      </c>
      <c r="C165" s="72">
        <f t="shared" si="138"/>
        <v>12</v>
      </c>
      <c r="D165" s="72" t="str">
        <f t="shared" si="179"/>
        <v>AP Power</v>
      </c>
      <c r="E165" s="73">
        <v>2006</v>
      </c>
      <c r="F165" s="390">
        <v>739.7</v>
      </c>
      <c r="G165" s="75">
        <f t="shared" si="175"/>
        <v>0.19074390271756475</v>
      </c>
      <c r="H165" s="127"/>
      <c r="I165" s="127"/>
      <c r="J165" s="389">
        <v>34698.77478</v>
      </c>
      <c r="K165" s="75">
        <f>J165/$J$243</f>
        <v>3.7989414886212762E-2</v>
      </c>
      <c r="L165" s="75"/>
      <c r="M165" s="390">
        <v>1235977</v>
      </c>
      <c r="N165" s="389">
        <v>57309.079262692692</v>
      </c>
      <c r="O165" s="127">
        <f t="shared" si="176"/>
        <v>22610.304482692693</v>
      </c>
      <c r="P165" s="75">
        <f t="shared" si="180"/>
        <v>0.3945326774323461</v>
      </c>
      <c r="Q165" s="75">
        <f t="shared" si="181"/>
        <v>0.6054673225676539</v>
      </c>
      <c r="R165" s="125">
        <f t="shared" si="177"/>
        <v>0</v>
      </c>
      <c r="S165" s="125">
        <f t="shared" si="182"/>
        <v>0.6054673225676539</v>
      </c>
      <c r="T165" s="125">
        <f t="shared" si="182"/>
        <v>-0.6054673225676539</v>
      </c>
      <c r="U165" s="240"/>
      <c r="V165" s="240"/>
      <c r="W165" s="240"/>
      <c r="X165" s="240"/>
      <c r="Y165" s="240"/>
      <c r="Z165" s="240"/>
      <c r="AA165" s="240"/>
      <c r="AB165" s="240"/>
      <c r="AC165" s="240"/>
      <c r="AD165" s="240"/>
      <c r="AE165" s="240"/>
      <c r="AF165" s="240"/>
      <c r="AG165" s="240"/>
      <c r="AH165" s="240"/>
      <c r="AI165" s="240"/>
      <c r="AJ165" s="240"/>
      <c r="AK165" s="240"/>
      <c r="AL165" s="240"/>
      <c r="AM165" s="240"/>
      <c r="AN165" s="240"/>
      <c r="AO165" s="240"/>
      <c r="AP165" s="240"/>
      <c r="AQ165" s="240"/>
      <c r="AR165" s="240"/>
      <c r="AS165" s="240"/>
      <c r="AT165" s="240"/>
      <c r="AU165" s="240"/>
      <c r="AV165" s="240"/>
      <c r="AW165" s="240"/>
      <c r="AX165" s="240"/>
      <c r="AY165" s="240"/>
      <c r="AZ165" s="240"/>
      <c r="BA165" s="240"/>
      <c r="BB165" s="240"/>
      <c r="BC165" s="240"/>
      <c r="BD165" s="240"/>
      <c r="BE165" s="240"/>
      <c r="BF165" s="240"/>
      <c r="BG165" s="240"/>
      <c r="BH165" s="240"/>
    </row>
    <row r="166" spans="2:60">
      <c r="B166" s="72">
        <f t="shared" si="178"/>
        <v>1</v>
      </c>
      <c r="C166" s="72">
        <f t="shared" si="138"/>
        <v>12</v>
      </c>
      <c r="D166" s="72" t="str">
        <f t="shared" si="179"/>
        <v>AP Power</v>
      </c>
      <c r="E166" s="73">
        <v>2007</v>
      </c>
      <c r="F166" s="390">
        <v>739.7</v>
      </c>
      <c r="G166" s="75">
        <f t="shared" si="175"/>
        <v>0.18042548410653955</v>
      </c>
      <c r="H166" s="127"/>
      <c r="I166" s="127"/>
      <c r="J166" s="389">
        <v>35563.49553</v>
      </c>
      <c r="K166" s="75">
        <f>J166/$J$244</f>
        <v>3.5751685088280701E-2</v>
      </c>
      <c r="L166" s="75"/>
      <c r="M166" s="390">
        <v>1169116</v>
      </c>
      <c r="N166" s="389">
        <v>55460.844533588388</v>
      </c>
      <c r="O166" s="127">
        <f t="shared" si="176"/>
        <v>19897.349003588388</v>
      </c>
      <c r="P166" s="75">
        <f t="shared" si="180"/>
        <v>0.3587639021893741</v>
      </c>
      <c r="Q166" s="75">
        <f t="shared" si="181"/>
        <v>0.64123609781062596</v>
      </c>
      <c r="R166" s="125">
        <f t="shared" si="177"/>
        <v>0</v>
      </c>
      <c r="S166" s="125">
        <f t="shared" si="182"/>
        <v>0.64123609781062596</v>
      </c>
      <c r="T166" s="125">
        <f t="shared" si="182"/>
        <v>-0.64123609781062596</v>
      </c>
      <c r="U166" s="240"/>
      <c r="V166" s="240"/>
      <c r="W166" s="240"/>
      <c r="X166" s="240"/>
      <c r="Y166" s="240"/>
      <c r="Z166" s="240"/>
      <c r="AA166" s="240"/>
      <c r="AB166" s="240"/>
      <c r="AC166" s="240"/>
      <c r="AD166" s="240"/>
      <c r="AE166" s="240"/>
      <c r="AF166" s="240"/>
      <c r="AG166" s="240"/>
      <c r="AH166" s="240"/>
      <c r="AI166" s="240"/>
      <c r="AJ166" s="240"/>
      <c r="AK166" s="240"/>
      <c r="AL166" s="240"/>
      <c r="AM166" s="240"/>
      <c r="AN166" s="240"/>
      <c r="AO166" s="240"/>
      <c r="AP166" s="240"/>
      <c r="AQ166" s="240"/>
      <c r="AR166" s="240"/>
      <c r="AS166" s="240"/>
      <c r="AT166" s="240"/>
      <c r="AU166" s="240"/>
      <c r="AV166" s="240"/>
      <c r="AW166" s="240"/>
      <c r="AX166" s="240"/>
      <c r="AY166" s="240"/>
      <c r="AZ166" s="240"/>
      <c r="BA166" s="240"/>
      <c r="BB166" s="240"/>
      <c r="BC166" s="240"/>
      <c r="BD166" s="240"/>
      <c r="BE166" s="240"/>
      <c r="BF166" s="240"/>
      <c r="BG166" s="240"/>
      <c r="BH166" s="240"/>
    </row>
    <row r="167" spans="2:60">
      <c r="B167" s="72">
        <f t="shared" si="178"/>
        <v>1</v>
      </c>
      <c r="C167" s="72">
        <f t="shared" ref="C167:C216" si="183">IF(D167=D166,C166,C166+1)</f>
        <v>12</v>
      </c>
      <c r="D167" s="72" t="str">
        <f t="shared" si="179"/>
        <v>AP Power</v>
      </c>
      <c r="E167" s="73">
        <v>2008</v>
      </c>
      <c r="F167" s="390">
        <v>739.7</v>
      </c>
      <c r="G167" s="75">
        <f t="shared" si="175"/>
        <v>0.16309277548654488</v>
      </c>
      <c r="H167" s="127"/>
      <c r="I167" s="127"/>
      <c r="J167" s="389">
        <v>37706.530680000003</v>
      </c>
      <c r="K167" s="75">
        <f>J167/$J$245</f>
        <v>3.4800578843712432E-2</v>
      </c>
      <c r="L167" s="75"/>
      <c r="M167" s="390">
        <v>1056804</v>
      </c>
      <c r="N167" s="389">
        <v>61109.589600035302</v>
      </c>
      <c r="O167" s="127">
        <f t="shared" si="176"/>
        <v>23403.058920035299</v>
      </c>
      <c r="P167" s="75">
        <f t="shared" si="180"/>
        <v>0.38296868090931802</v>
      </c>
      <c r="Q167" s="75">
        <f t="shared" si="181"/>
        <v>0.61703131909068198</v>
      </c>
      <c r="R167" s="125">
        <f t="shared" si="177"/>
        <v>0</v>
      </c>
      <c r="S167" s="125">
        <f t="shared" si="182"/>
        <v>0.61703131909068198</v>
      </c>
      <c r="T167" s="125">
        <f t="shared" si="182"/>
        <v>-0.61703131909068198</v>
      </c>
      <c r="U167" s="240"/>
      <c r="V167" s="240"/>
      <c r="W167" s="240"/>
      <c r="X167" s="240"/>
      <c r="Y167" s="240"/>
      <c r="Z167" s="240"/>
      <c r="AA167" s="240"/>
      <c r="AB167" s="240"/>
      <c r="AC167" s="240"/>
      <c r="AD167" s="240"/>
      <c r="AE167" s="240"/>
      <c r="AF167" s="240"/>
      <c r="AG167" s="240"/>
      <c r="AH167" s="240"/>
      <c r="AI167" s="240"/>
      <c r="AJ167" s="240"/>
      <c r="AK167" s="240"/>
      <c r="AL167" s="240"/>
      <c r="AM167" s="240"/>
      <c r="AN167" s="240"/>
      <c r="AO167" s="240"/>
      <c r="AP167" s="240"/>
      <c r="AQ167" s="240"/>
      <c r="AR167" s="240"/>
      <c r="AS167" s="240"/>
      <c r="AT167" s="240"/>
      <c r="AU167" s="240"/>
      <c r="AV167" s="240"/>
      <c r="AW167" s="240"/>
      <c r="AX167" s="240"/>
      <c r="AY167" s="240"/>
      <c r="AZ167" s="240"/>
      <c r="BA167" s="240"/>
      <c r="BB167" s="240"/>
      <c r="BC167" s="240"/>
      <c r="BD167" s="240"/>
      <c r="BE167" s="240"/>
      <c r="BF167" s="240"/>
      <c r="BG167" s="240"/>
      <c r="BH167" s="240"/>
    </row>
    <row r="168" spans="2:60">
      <c r="B168" s="72">
        <f t="shared" si="178"/>
        <v>1</v>
      </c>
      <c r="C168" s="72">
        <f t="shared" si="183"/>
        <v>12</v>
      </c>
      <c r="D168" s="72" t="str">
        <f t="shared" si="179"/>
        <v>AP Power</v>
      </c>
      <c r="E168" s="73">
        <v>2009</v>
      </c>
      <c r="F168" s="390">
        <v>739.7</v>
      </c>
      <c r="G168" s="75">
        <f t="shared" si="175"/>
        <v>0.18539062794184732</v>
      </c>
      <c r="H168" s="127"/>
      <c r="I168" s="127"/>
      <c r="J168" s="389">
        <v>34873.809929999996</v>
      </c>
      <c r="K168" s="75">
        <f>J168/$J$246</f>
        <v>3.2490104539177986E-2</v>
      </c>
      <c r="L168" s="75"/>
      <c r="M168" s="390">
        <v>1201289</v>
      </c>
      <c r="N168" s="389">
        <v>45532.115420822447</v>
      </c>
      <c r="O168" s="127">
        <f t="shared" si="176"/>
        <v>10658.305490822451</v>
      </c>
      <c r="P168" s="75">
        <f t="shared" si="180"/>
        <v>0.2340832485447901</v>
      </c>
      <c r="Q168" s="75">
        <f t="shared" si="181"/>
        <v>0.76591675145520988</v>
      </c>
      <c r="R168" s="125">
        <f t="shared" si="177"/>
        <v>0</v>
      </c>
      <c r="S168" s="125">
        <f t="shared" si="182"/>
        <v>0.76591675145520988</v>
      </c>
      <c r="T168" s="125">
        <f t="shared" si="182"/>
        <v>-0.76591675145520988</v>
      </c>
      <c r="U168" s="240"/>
      <c r="V168" s="240"/>
      <c r="W168" s="240"/>
      <c r="X168" s="240"/>
      <c r="Y168" s="240"/>
      <c r="Z168" s="240"/>
      <c r="AA168" s="240"/>
      <c r="AB168" s="240"/>
      <c r="AC168" s="240"/>
      <c r="AD168" s="240"/>
      <c r="AE168" s="240"/>
      <c r="AF168" s="240"/>
      <c r="AG168" s="240"/>
      <c r="AH168" s="240"/>
      <c r="AI168" s="240"/>
      <c r="AJ168" s="240"/>
      <c r="AK168" s="240"/>
      <c r="AL168" s="240"/>
      <c r="AM168" s="240"/>
      <c r="AN168" s="240"/>
      <c r="AO168" s="240"/>
      <c r="AP168" s="240"/>
      <c r="AQ168" s="240"/>
      <c r="AR168" s="240"/>
      <c r="AS168" s="240"/>
      <c r="AT168" s="240"/>
      <c r="AU168" s="240"/>
      <c r="AV168" s="240"/>
      <c r="AW168" s="240"/>
      <c r="AX168" s="240"/>
      <c r="AY168" s="240"/>
      <c r="AZ168" s="240"/>
      <c r="BA168" s="240"/>
      <c r="BB168" s="240"/>
      <c r="BC168" s="240"/>
      <c r="BD168" s="240"/>
      <c r="BE168" s="240"/>
      <c r="BF168" s="240"/>
      <c r="BG168" s="240"/>
      <c r="BH168" s="240"/>
    </row>
    <row r="169" spans="2:60">
      <c r="B169" s="72">
        <f t="shared" si="178"/>
        <v>1</v>
      </c>
      <c r="C169" s="72">
        <f t="shared" si="183"/>
        <v>12</v>
      </c>
      <c r="D169" s="72" t="str">
        <f t="shared" si="179"/>
        <v>AP Power</v>
      </c>
      <c r="E169" s="73">
        <v>2010</v>
      </c>
      <c r="F169" s="390">
        <v>739.7</v>
      </c>
      <c r="G169" s="75">
        <f t="shared" si="175"/>
        <v>0.18367667874733865</v>
      </c>
      <c r="H169" s="127"/>
      <c r="I169" s="127"/>
      <c r="J169" s="389">
        <v>38269.319640000002</v>
      </c>
      <c r="K169" s="75">
        <f>J169/$J$247</f>
        <v>3.3197621632074049E-2</v>
      </c>
      <c r="L169" s="75"/>
      <c r="M169" s="390">
        <v>1190183</v>
      </c>
      <c r="N169" s="389">
        <v>51515.028856869401</v>
      </c>
      <c r="O169" s="127">
        <f t="shared" si="176"/>
        <v>13245.7092168694</v>
      </c>
      <c r="P169" s="75">
        <f t="shared" si="180"/>
        <v>0.25712320289427765</v>
      </c>
      <c r="Q169" s="75">
        <f t="shared" si="181"/>
        <v>0.74287679710572241</v>
      </c>
      <c r="R169" s="125">
        <f t="shared" si="177"/>
        <v>0</v>
      </c>
      <c r="S169" s="125">
        <f t="shared" si="182"/>
        <v>0.74287679710572241</v>
      </c>
      <c r="T169" s="125">
        <f t="shared" si="182"/>
        <v>-0.74287679710572241</v>
      </c>
      <c r="U169" s="240"/>
      <c r="V169" s="240"/>
      <c r="W169" s="240"/>
      <c r="X169" s="240"/>
      <c r="Y169" s="240"/>
      <c r="Z169" s="240"/>
      <c r="AA169" s="240"/>
      <c r="AB169" s="240"/>
      <c r="AC169" s="240"/>
      <c r="AD169" s="240"/>
      <c r="AE169" s="240"/>
      <c r="AF169" s="240"/>
      <c r="AG169" s="240"/>
      <c r="AH169" s="240"/>
      <c r="AI169" s="240"/>
      <c r="AJ169" s="240"/>
      <c r="AK169" s="240"/>
      <c r="AL169" s="240"/>
      <c r="AM169" s="240"/>
      <c r="AN169" s="240"/>
      <c r="AO169" s="240"/>
      <c r="AP169" s="240"/>
      <c r="AQ169" s="240"/>
      <c r="AR169" s="240"/>
      <c r="AS169" s="240"/>
      <c r="AT169" s="240"/>
      <c r="AU169" s="240"/>
      <c r="AV169" s="240"/>
      <c r="AW169" s="240"/>
      <c r="AX169" s="240"/>
      <c r="AY169" s="240"/>
      <c r="AZ169" s="240"/>
      <c r="BA169" s="240"/>
      <c r="BB169" s="240"/>
      <c r="BC169" s="240"/>
      <c r="BD169" s="240"/>
      <c r="BE169" s="240"/>
      <c r="BF169" s="240"/>
      <c r="BG169" s="240"/>
      <c r="BH169" s="240"/>
    </row>
    <row r="170" spans="2:60">
      <c r="B170" s="72">
        <f t="shared" si="178"/>
        <v>1</v>
      </c>
      <c r="C170" s="72">
        <f t="shared" si="183"/>
        <v>12</v>
      </c>
      <c r="D170" s="72" t="str">
        <f t="shared" si="179"/>
        <v>AP Power</v>
      </c>
      <c r="E170" s="73">
        <v>2011</v>
      </c>
      <c r="F170" s="390">
        <v>778.7</v>
      </c>
      <c r="G170" s="75">
        <f t="shared" si="175"/>
        <v>0.15214269421052415</v>
      </c>
      <c r="H170" s="127"/>
      <c r="I170" s="127"/>
      <c r="J170" s="389">
        <v>33342.314789999997</v>
      </c>
      <c r="K170" s="75">
        <f>J170/$J$248</f>
        <v>2.8981835329722982E-2</v>
      </c>
      <c r="L170" s="75"/>
      <c r="M170" s="390">
        <v>1037828</v>
      </c>
      <c r="N170" s="389">
        <v>46708.605685079026</v>
      </c>
      <c r="O170" s="127">
        <f t="shared" si="176"/>
        <v>13366.29089507903</v>
      </c>
      <c r="P170" s="75">
        <f t="shared" si="180"/>
        <v>0.28616334611223188</v>
      </c>
      <c r="Q170" s="75">
        <f t="shared" si="181"/>
        <v>0.71383665388776807</v>
      </c>
      <c r="R170" s="125">
        <f t="shared" si="177"/>
        <v>0</v>
      </c>
      <c r="S170" s="125">
        <f t="shared" si="182"/>
        <v>0.71383665388776807</v>
      </c>
      <c r="T170" s="125">
        <f t="shared" si="182"/>
        <v>-0.71383665388776807</v>
      </c>
      <c r="U170" s="240"/>
      <c r="V170" s="240"/>
      <c r="W170" s="240"/>
      <c r="X170" s="240"/>
      <c r="Y170" s="240"/>
      <c r="Z170" s="240"/>
      <c r="AA170" s="240"/>
      <c r="AB170" s="240"/>
      <c r="AC170" s="240"/>
      <c r="AD170" s="240"/>
      <c r="AE170" s="240"/>
      <c r="AF170" s="240"/>
      <c r="AG170" s="240"/>
      <c r="AH170" s="240"/>
      <c r="AI170" s="240"/>
      <c r="AJ170" s="240"/>
      <c r="AK170" s="240"/>
      <c r="AL170" s="240"/>
      <c r="AM170" s="240"/>
      <c r="AN170" s="240"/>
      <c r="AO170" s="240"/>
      <c r="AP170" s="240"/>
      <c r="AQ170" s="240"/>
      <c r="AR170" s="240"/>
      <c r="AS170" s="240"/>
      <c r="AT170" s="240"/>
      <c r="AU170" s="240"/>
      <c r="AV170" s="240"/>
      <c r="AW170" s="240"/>
      <c r="AX170" s="240"/>
      <c r="AY170" s="240"/>
      <c r="AZ170" s="240"/>
      <c r="BA170" s="240"/>
      <c r="BB170" s="240"/>
      <c r="BC170" s="240"/>
      <c r="BD170" s="240"/>
      <c r="BE170" s="240"/>
      <c r="BF170" s="240"/>
      <c r="BG170" s="240"/>
      <c r="BH170" s="240"/>
    </row>
    <row r="171" spans="2:60">
      <c r="B171" s="72">
        <f t="shared" si="178"/>
        <v>1</v>
      </c>
      <c r="C171" s="72">
        <f t="shared" si="183"/>
        <v>12</v>
      </c>
      <c r="D171" s="72" t="str">
        <f t="shared" si="179"/>
        <v>AP Power</v>
      </c>
      <c r="E171" s="73">
        <v>2012</v>
      </c>
      <c r="F171" s="390">
        <v>778.7</v>
      </c>
      <c r="G171" s="75">
        <f t="shared" si="175"/>
        <v>0.14220853395162175</v>
      </c>
      <c r="H171" s="127"/>
      <c r="I171" s="127"/>
      <c r="J171" s="389">
        <v>28907.146349999999</v>
      </c>
      <c r="K171" s="75">
        <f>J171/$J$249</f>
        <v>2.4356880839811003E-2</v>
      </c>
      <c r="L171" s="75"/>
      <c r="M171" s="390">
        <v>970063</v>
      </c>
      <c r="N171" s="389">
        <v>33442.6171642517</v>
      </c>
      <c r="O171" s="127">
        <f t="shared" si="176"/>
        <v>4535.4708142517011</v>
      </c>
      <c r="P171" s="75">
        <f>AVERAGE(P161:P170)</f>
        <v>0.40570633931825462</v>
      </c>
      <c r="Q171" s="75">
        <f t="shared" si="181"/>
        <v>0.59429366068174538</v>
      </c>
      <c r="R171" s="125">
        <f t="shared" si="177"/>
        <v>0</v>
      </c>
      <c r="S171" s="125">
        <f t="shared" si="182"/>
        <v>0.59429366068174538</v>
      </c>
      <c r="T171" s="125">
        <f t="shared" si="182"/>
        <v>-0.59429366068174538</v>
      </c>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0"/>
      <c r="AP171" s="240"/>
      <c r="AQ171" s="240"/>
      <c r="AR171" s="240"/>
      <c r="AS171" s="240"/>
      <c r="AT171" s="240"/>
      <c r="AU171" s="240"/>
      <c r="AV171" s="240"/>
      <c r="AW171" s="240"/>
      <c r="AX171" s="240"/>
      <c r="AY171" s="240"/>
      <c r="AZ171" s="240"/>
      <c r="BA171" s="240"/>
      <c r="BB171" s="240"/>
      <c r="BC171" s="240"/>
      <c r="BD171" s="240"/>
      <c r="BE171" s="240"/>
      <c r="BF171" s="240"/>
      <c r="BG171" s="240"/>
      <c r="BH171" s="240"/>
    </row>
    <row r="172" spans="2:60">
      <c r="B172" s="72">
        <f t="shared" si="178"/>
        <v>1</v>
      </c>
      <c r="C172" s="72">
        <f t="shared" si="183"/>
        <v>12</v>
      </c>
      <c r="D172" s="72" t="str">
        <f t="shared" si="179"/>
        <v>AP Power</v>
      </c>
      <c r="E172" s="73">
        <v>2013</v>
      </c>
      <c r="F172" s="390">
        <v>839.99999999999989</v>
      </c>
      <c r="G172" s="75">
        <f t="shared" si="175"/>
        <v>0.1446603881278539</v>
      </c>
      <c r="H172" s="127"/>
      <c r="I172" s="127"/>
      <c r="J172" s="389">
        <v>27228.371009999999</v>
      </c>
      <c r="K172" s="75">
        <f>J172/$J$250</f>
        <v>2.3205391595431453E-2</v>
      </c>
      <c r="L172" s="72"/>
      <c r="M172" s="390">
        <v>1064469</v>
      </c>
      <c r="N172" s="389">
        <v>41472.236619902702</v>
      </c>
      <c r="O172" s="127">
        <f t="shared" ref="O172:O173" si="184">N172-J172</f>
        <v>14243.865609902703</v>
      </c>
      <c r="P172" s="75">
        <f t="shared" si="180"/>
        <v>0.34345544804947925</v>
      </c>
      <c r="Q172" s="75">
        <f t="shared" ref="Q172:Q173" si="185">1-P172</f>
        <v>0.65654455195052075</v>
      </c>
      <c r="R172" s="125">
        <f t="shared" ref="R172:R173" si="186">Q172*L172</f>
        <v>0</v>
      </c>
      <c r="S172" s="125">
        <f t="shared" ref="S172:S173" si="187">Q172-R172</f>
        <v>0.65654455195052075</v>
      </c>
      <c r="T172" s="125">
        <f t="shared" ref="T172:T173" si="188">R172-S172</f>
        <v>-0.65654455195052075</v>
      </c>
      <c r="U172" s="240"/>
      <c r="V172" s="240"/>
      <c r="W172" s="240"/>
      <c r="X172" s="240"/>
      <c r="Y172" s="240"/>
      <c r="Z172" s="240"/>
      <c r="AA172" s="240"/>
      <c r="AB172" s="240"/>
      <c r="AC172" s="240"/>
      <c r="AD172" s="240"/>
      <c r="AE172" s="240"/>
      <c r="AF172" s="240"/>
      <c r="AG172" s="240"/>
      <c r="AH172" s="240"/>
      <c r="AI172" s="240"/>
      <c r="AJ172" s="240"/>
      <c r="AK172" s="240"/>
      <c r="AL172" s="240"/>
      <c r="AM172" s="240"/>
      <c r="AN172" s="240"/>
      <c r="AO172" s="240"/>
      <c r="AP172" s="240"/>
      <c r="AQ172" s="240"/>
      <c r="AR172" s="240"/>
      <c r="AS172" s="240"/>
      <c r="AT172" s="240"/>
      <c r="AU172" s="240"/>
      <c r="AV172" s="240"/>
      <c r="AW172" s="240"/>
      <c r="AX172" s="240"/>
      <c r="AY172" s="240"/>
      <c r="AZ172" s="240"/>
      <c r="BA172" s="240"/>
      <c r="BB172" s="240"/>
      <c r="BC172" s="240"/>
      <c r="BD172" s="240"/>
      <c r="BE172" s="240"/>
      <c r="BF172" s="240"/>
      <c r="BG172" s="240"/>
      <c r="BH172" s="240"/>
    </row>
    <row r="173" spans="2:60">
      <c r="B173" s="72">
        <f t="shared" si="178"/>
        <v>1</v>
      </c>
      <c r="C173" s="72">
        <f t="shared" si="183"/>
        <v>12</v>
      </c>
      <c r="D173" s="72" t="str">
        <f t="shared" si="179"/>
        <v>AP Power</v>
      </c>
      <c r="E173" s="73">
        <v>2014</v>
      </c>
      <c r="F173" s="390">
        <v>839.69999999999993</v>
      </c>
      <c r="G173" s="75">
        <f t="shared" si="175"/>
        <v>0.12316790134332604</v>
      </c>
      <c r="H173" s="127"/>
      <c r="I173" s="127"/>
      <c r="J173" s="389">
        <v>33127.893809999994</v>
      </c>
      <c r="K173" s="75">
        <f>J173/$J$251</f>
        <v>2.7521274766494387E-2</v>
      </c>
      <c r="L173" s="72"/>
      <c r="M173" s="390">
        <v>905995</v>
      </c>
      <c r="N173" s="389">
        <v>25804.046626830095</v>
      </c>
      <c r="O173" s="127">
        <f t="shared" si="184"/>
        <v>-7323.8471831698989</v>
      </c>
      <c r="P173" s="75">
        <f>AVERAGE(P161:P172)</f>
        <v>0.40051876504585665</v>
      </c>
      <c r="Q173" s="75">
        <f t="shared" si="185"/>
        <v>0.5994812349541434</v>
      </c>
      <c r="R173" s="125">
        <f t="shared" si="186"/>
        <v>0</v>
      </c>
      <c r="S173" s="125">
        <f t="shared" si="187"/>
        <v>0.5994812349541434</v>
      </c>
      <c r="T173" s="125">
        <f t="shared" si="188"/>
        <v>-0.5994812349541434</v>
      </c>
      <c r="U173" s="240"/>
      <c r="V173" s="240"/>
      <c r="W173" s="240"/>
      <c r="X173" s="240"/>
      <c r="Y173" s="240"/>
      <c r="Z173" s="240"/>
      <c r="AA173" s="240"/>
      <c r="AB173" s="240"/>
      <c r="AC173" s="240"/>
      <c r="AD173" s="240"/>
      <c r="AE173" s="240"/>
      <c r="AF173" s="240"/>
      <c r="AG173" s="240"/>
      <c r="AH173" s="240"/>
      <c r="AI173" s="240"/>
      <c r="AJ173" s="240"/>
      <c r="AK173" s="240"/>
      <c r="AL173" s="240"/>
      <c r="AM173" s="240"/>
      <c r="AN173" s="240"/>
      <c r="AO173" s="240"/>
      <c r="AP173" s="240"/>
      <c r="AQ173" s="240"/>
      <c r="AR173" s="240"/>
      <c r="AS173" s="240"/>
      <c r="AT173" s="240"/>
      <c r="AU173" s="240"/>
      <c r="AV173" s="240"/>
      <c r="AW173" s="240"/>
      <c r="AX173" s="240"/>
      <c r="AY173" s="240"/>
      <c r="AZ173" s="240"/>
      <c r="BA173" s="240"/>
      <c r="BB173" s="240"/>
      <c r="BC173" s="240"/>
      <c r="BD173" s="240"/>
      <c r="BE173" s="240"/>
      <c r="BF173" s="240"/>
      <c r="BG173" s="240"/>
      <c r="BH173" s="240"/>
    </row>
    <row r="174" spans="2:60">
      <c r="B174" s="69">
        <f>'OPG hydro peers'!B17</f>
        <v>1</v>
      </c>
      <c r="C174" s="69">
        <f t="shared" si="183"/>
        <v>13</v>
      </c>
      <c r="D174" s="69" t="str">
        <f>'OPG hydro peers'!D17</f>
        <v>SCE&amp;G</v>
      </c>
      <c r="E174" s="70">
        <v>2002</v>
      </c>
      <c r="F174" s="388">
        <v>760.8</v>
      </c>
      <c r="G174" s="76">
        <f t="shared" ref="G174:G186" si="189">M174/(F174*8760)</f>
        <v>0.14300375956095243</v>
      </c>
      <c r="H174" s="71"/>
      <c r="I174" s="71"/>
      <c r="J174" s="388">
        <v>6273.6912599999996</v>
      </c>
      <c r="K174" s="76">
        <f>J174/$J$239</f>
        <v>8.8142680427429169E-3</v>
      </c>
      <c r="L174" s="76"/>
      <c r="M174" s="388">
        <v>953064</v>
      </c>
      <c r="N174" s="388">
        <v>6437.5590314534984</v>
      </c>
      <c r="O174" s="71">
        <f t="shared" ref="O174:O184" si="190">N174-J174</f>
        <v>163.86777145349879</v>
      </c>
      <c r="P174" s="76">
        <f>AVERAGE($P$175:$P$179,$P$181:$P$182)</f>
        <v>0.44666486599078531</v>
      </c>
      <c r="Q174" s="76">
        <f>1-P174</f>
        <v>0.55333513400921475</v>
      </c>
      <c r="R174" s="126">
        <f t="shared" ref="R174:R184" si="191">Q174*L174</f>
        <v>0</v>
      </c>
      <c r="S174" s="126">
        <f>Q174-R174</f>
        <v>0.55333513400921475</v>
      </c>
      <c r="T174" s="126">
        <f>R174-S174</f>
        <v>-0.55333513400921475</v>
      </c>
      <c r="U174" s="240"/>
      <c r="V174" s="240"/>
      <c r="W174" s="240"/>
      <c r="X174" s="240"/>
      <c r="Y174" s="240"/>
      <c r="Z174" s="240"/>
      <c r="AA174" s="240"/>
      <c r="AB174" s="240"/>
      <c r="AC174" s="240"/>
      <c r="AD174" s="240"/>
      <c r="AE174" s="240"/>
      <c r="AF174" s="240"/>
      <c r="AG174" s="240"/>
      <c r="AH174" s="240"/>
      <c r="AI174" s="240"/>
      <c r="AJ174" s="240"/>
      <c r="AK174" s="240"/>
      <c r="AL174" s="240"/>
      <c r="AM174" s="240"/>
      <c r="AN174" s="240"/>
      <c r="AO174" s="240"/>
      <c r="AP174" s="240"/>
      <c r="AQ174" s="240"/>
      <c r="AR174" s="240"/>
      <c r="AS174" s="240"/>
      <c r="AT174" s="240"/>
      <c r="AU174" s="240"/>
      <c r="AV174" s="240"/>
      <c r="AW174" s="240"/>
      <c r="AX174" s="240"/>
      <c r="AY174" s="240"/>
      <c r="AZ174" s="240"/>
      <c r="BA174" s="240"/>
      <c r="BB174" s="240"/>
      <c r="BC174" s="240"/>
      <c r="BD174" s="240"/>
      <c r="BE174" s="240"/>
      <c r="BF174" s="240"/>
      <c r="BG174" s="240"/>
      <c r="BH174" s="240"/>
    </row>
    <row r="175" spans="2:60">
      <c r="B175" s="69">
        <f t="shared" ref="B175:B186" si="192">B174</f>
        <v>1</v>
      </c>
      <c r="C175" s="69">
        <f t="shared" si="183"/>
        <v>13</v>
      </c>
      <c r="D175" s="69" t="str">
        <f t="shared" ref="D175:D182" si="193">D174</f>
        <v>SCE&amp;G</v>
      </c>
      <c r="E175" s="70">
        <v>2003</v>
      </c>
      <c r="F175" s="388">
        <v>750.5</v>
      </c>
      <c r="G175" s="76">
        <f t="shared" si="189"/>
        <v>0.19560490875185188</v>
      </c>
      <c r="H175" s="71"/>
      <c r="I175" s="71"/>
      <c r="J175" s="388">
        <v>6575.3733600000005</v>
      </c>
      <c r="K175" s="76">
        <f>J175/$J$240</f>
        <v>8.2521701673328451E-3</v>
      </c>
      <c r="L175" s="76"/>
      <c r="M175" s="388">
        <v>1285981</v>
      </c>
      <c r="N175" s="388">
        <v>18541.377933948304</v>
      </c>
      <c r="O175" s="71">
        <f t="shared" si="190"/>
        <v>11966.004573948303</v>
      </c>
      <c r="P175" s="76">
        <f t="shared" ref="P175:P182" si="194">O175/N175</f>
        <v>0.64536759978551361</v>
      </c>
      <c r="Q175" s="76">
        <f t="shared" ref="Q175:Q184" si="195">1-P175</f>
        <v>0.35463240021448639</v>
      </c>
      <c r="R175" s="126">
        <f t="shared" si="191"/>
        <v>0</v>
      </c>
      <c r="S175" s="126">
        <f t="shared" ref="S175:T184" si="196">Q175-R175</f>
        <v>0.35463240021448639</v>
      </c>
      <c r="T175" s="126">
        <f t="shared" si="196"/>
        <v>-0.35463240021448639</v>
      </c>
      <c r="U175" s="240"/>
      <c r="V175" s="240"/>
      <c r="W175" s="240"/>
      <c r="X175" s="240"/>
      <c r="Y175" s="240"/>
      <c r="Z175" s="240"/>
      <c r="AA175" s="240"/>
      <c r="AB175" s="240"/>
      <c r="AC175" s="240"/>
      <c r="AD175" s="240"/>
      <c r="AE175" s="240"/>
      <c r="AF175" s="240"/>
      <c r="AG175" s="240"/>
      <c r="AH175" s="240"/>
      <c r="AI175" s="240"/>
      <c r="AJ175" s="240"/>
      <c r="AK175" s="240"/>
      <c r="AL175" s="240"/>
      <c r="AM175" s="240"/>
      <c r="AN175" s="240"/>
      <c r="AO175" s="240"/>
      <c r="AP175" s="240"/>
      <c r="AQ175" s="240"/>
      <c r="AR175" s="240"/>
      <c r="AS175" s="240"/>
      <c r="AT175" s="240"/>
      <c r="AU175" s="240"/>
      <c r="AV175" s="240"/>
      <c r="AW175" s="240"/>
      <c r="AX175" s="240"/>
      <c r="AY175" s="240"/>
      <c r="AZ175" s="240"/>
      <c r="BA175" s="240"/>
      <c r="BB175" s="240"/>
      <c r="BC175" s="240"/>
      <c r="BD175" s="240"/>
      <c r="BE175" s="240"/>
      <c r="BF175" s="240"/>
      <c r="BG175" s="240"/>
      <c r="BH175" s="240"/>
    </row>
    <row r="176" spans="2:60">
      <c r="B176" s="69">
        <f t="shared" si="192"/>
        <v>1</v>
      </c>
      <c r="C176" s="69">
        <f t="shared" si="183"/>
        <v>13</v>
      </c>
      <c r="D176" s="69" t="str">
        <f t="shared" si="193"/>
        <v>SCE&amp;G</v>
      </c>
      <c r="E176" s="70">
        <v>2004</v>
      </c>
      <c r="F176" s="388">
        <v>750.5</v>
      </c>
      <c r="G176" s="76">
        <f t="shared" si="189"/>
        <v>0.17241047825042058</v>
      </c>
      <c r="H176" s="71"/>
      <c r="I176" s="71"/>
      <c r="J176" s="388">
        <v>6709.1752199999992</v>
      </c>
      <c r="K176" s="76">
        <f>J176/$J$241</f>
        <v>8.1687707316689187E-3</v>
      </c>
      <c r="L176" s="76"/>
      <c r="M176" s="388">
        <v>1133492</v>
      </c>
      <c r="N176" s="388">
        <v>11193.024172133533</v>
      </c>
      <c r="O176" s="71">
        <f t="shared" si="190"/>
        <v>4483.8489521335341</v>
      </c>
      <c r="P176" s="76">
        <f t="shared" si="194"/>
        <v>0.4005931625964545</v>
      </c>
      <c r="Q176" s="76">
        <f t="shared" si="195"/>
        <v>0.5994068374035455</v>
      </c>
      <c r="R176" s="126">
        <f t="shared" si="191"/>
        <v>0</v>
      </c>
      <c r="S176" s="126">
        <f t="shared" si="196"/>
        <v>0.5994068374035455</v>
      </c>
      <c r="T176" s="126">
        <f t="shared" si="196"/>
        <v>-0.5994068374035455</v>
      </c>
      <c r="U176" s="240"/>
      <c r="V176" s="240"/>
      <c r="W176" s="240"/>
      <c r="X176" s="240"/>
      <c r="Y176" s="240"/>
      <c r="Z176" s="240"/>
      <c r="AA176" s="240"/>
      <c r="AB176" s="240"/>
      <c r="AC176" s="240"/>
      <c r="AD176" s="240"/>
      <c r="AE176" s="240"/>
      <c r="AF176" s="240"/>
      <c r="AG176" s="240"/>
      <c r="AH176" s="240"/>
      <c r="AI176" s="240"/>
      <c r="AJ176" s="240"/>
      <c r="AK176" s="240"/>
      <c r="AL176" s="240"/>
      <c r="AM176" s="240"/>
      <c r="AN176" s="240"/>
      <c r="AO176" s="240"/>
      <c r="AP176" s="240"/>
      <c r="AQ176" s="240"/>
      <c r="AR176" s="240"/>
      <c r="AS176" s="240"/>
      <c r="AT176" s="240"/>
      <c r="AU176" s="240"/>
      <c r="AV176" s="240"/>
      <c r="AW176" s="240"/>
      <c r="AX176" s="240"/>
      <c r="AY176" s="240"/>
      <c r="AZ176" s="240"/>
      <c r="BA176" s="240"/>
      <c r="BB176" s="240"/>
      <c r="BC176" s="240"/>
      <c r="BD176" s="240"/>
      <c r="BE176" s="240"/>
      <c r="BF176" s="240"/>
      <c r="BG176" s="240"/>
      <c r="BH176" s="240"/>
    </row>
    <row r="177" spans="2:62">
      <c r="B177" s="69">
        <f t="shared" si="192"/>
        <v>1</v>
      </c>
      <c r="C177" s="69">
        <f t="shared" si="183"/>
        <v>13</v>
      </c>
      <c r="D177" s="69" t="str">
        <f t="shared" si="193"/>
        <v>SCE&amp;G</v>
      </c>
      <c r="E177" s="70">
        <v>2005</v>
      </c>
      <c r="F177" s="388">
        <v>750.5</v>
      </c>
      <c r="G177" s="76">
        <f t="shared" si="189"/>
        <v>0.19368062083420795</v>
      </c>
      <c r="H177" s="71"/>
      <c r="I177" s="71"/>
      <c r="J177" s="388">
        <v>6809.7437100000006</v>
      </c>
      <c r="K177" s="76">
        <f>J177/$J$242</f>
        <v>7.8512393180290765E-3</v>
      </c>
      <c r="L177" s="76"/>
      <c r="M177" s="388">
        <v>1273330</v>
      </c>
      <c r="N177" s="388">
        <v>24820.439900745001</v>
      </c>
      <c r="O177" s="71">
        <f t="shared" si="190"/>
        <v>18010.696190745002</v>
      </c>
      <c r="P177" s="76">
        <f t="shared" si="194"/>
        <v>0.72563968498416498</v>
      </c>
      <c r="Q177" s="76">
        <f t="shared" si="195"/>
        <v>0.27436031501583502</v>
      </c>
      <c r="R177" s="126">
        <f t="shared" si="191"/>
        <v>0</v>
      </c>
      <c r="S177" s="126">
        <f t="shared" si="196"/>
        <v>0.27436031501583502</v>
      </c>
      <c r="T177" s="126">
        <f t="shared" si="196"/>
        <v>-0.27436031501583502</v>
      </c>
      <c r="U177" s="240"/>
      <c r="V177" s="240"/>
      <c r="W177" s="240"/>
      <c r="X177" s="240"/>
      <c r="Y177" s="240"/>
      <c r="Z177" s="240"/>
      <c r="AA177" s="240"/>
      <c r="AB177" s="240"/>
      <c r="AC177" s="240"/>
      <c r="AD177" s="240"/>
      <c r="AE177" s="240"/>
      <c r="AF177" s="240"/>
      <c r="AG177" s="240"/>
      <c r="AH177" s="240"/>
      <c r="AI177" s="240"/>
      <c r="AJ177" s="240"/>
      <c r="AK177" s="240"/>
      <c r="AL177" s="240"/>
      <c r="AM177" s="240"/>
      <c r="AN177" s="240"/>
      <c r="AO177" s="240"/>
      <c r="AP177" s="240"/>
      <c r="AQ177" s="240"/>
      <c r="AR177" s="240"/>
      <c r="AS177" s="240"/>
      <c r="AT177" s="240"/>
      <c r="AU177" s="240"/>
      <c r="AV177" s="240"/>
      <c r="AW177" s="240"/>
      <c r="AX177" s="240"/>
      <c r="AY177" s="240"/>
      <c r="AZ177" s="240"/>
      <c r="BA177" s="240"/>
      <c r="BB177" s="240"/>
      <c r="BC177" s="240"/>
      <c r="BD177" s="240"/>
      <c r="BE177" s="240"/>
      <c r="BF177" s="240"/>
      <c r="BG177" s="240"/>
      <c r="BH177" s="240"/>
    </row>
    <row r="178" spans="2:62">
      <c r="B178" s="69">
        <f t="shared" si="192"/>
        <v>1</v>
      </c>
      <c r="C178" s="69">
        <f t="shared" si="183"/>
        <v>13</v>
      </c>
      <c r="D178" s="69" t="str">
        <f t="shared" si="193"/>
        <v>SCE&amp;G</v>
      </c>
      <c r="E178" s="70">
        <v>2006</v>
      </c>
      <c r="F178" s="388">
        <v>750.5</v>
      </c>
      <c r="G178" s="76">
        <f t="shared" si="189"/>
        <v>0.1551315865526483</v>
      </c>
      <c r="H178" s="71"/>
      <c r="I178" s="71"/>
      <c r="J178" s="388">
        <v>7664.6785799999998</v>
      </c>
      <c r="K178" s="76">
        <f>J178/$J$243</f>
        <v>8.3915543528908457E-3</v>
      </c>
      <c r="L178" s="76"/>
      <c r="M178" s="388">
        <v>1019894</v>
      </c>
      <c r="N178" s="388">
        <v>10817.392776589499</v>
      </c>
      <c r="O178" s="71">
        <f t="shared" si="190"/>
        <v>3152.7141965894989</v>
      </c>
      <c r="P178" s="76">
        <f t="shared" si="194"/>
        <v>0.29144861998655142</v>
      </c>
      <c r="Q178" s="76">
        <f t="shared" si="195"/>
        <v>0.70855138001344864</v>
      </c>
      <c r="R178" s="126">
        <f t="shared" si="191"/>
        <v>0</v>
      </c>
      <c r="S178" s="126">
        <f t="shared" si="196"/>
        <v>0.70855138001344864</v>
      </c>
      <c r="T178" s="126">
        <f t="shared" si="196"/>
        <v>-0.70855138001344864</v>
      </c>
      <c r="U178" s="240"/>
      <c r="V178" s="240"/>
      <c r="W178" s="240"/>
      <c r="X178" s="240"/>
      <c r="Y178" s="240"/>
      <c r="Z178" s="240"/>
      <c r="AA178" s="240"/>
      <c r="AB178" s="240"/>
      <c r="AC178" s="240"/>
      <c r="AD178" s="240"/>
      <c r="AE178" s="240"/>
      <c r="AF178" s="240"/>
      <c r="AG178" s="240"/>
      <c r="AH178" s="240"/>
      <c r="AI178" s="240"/>
      <c r="AJ178" s="240"/>
      <c r="AK178" s="240"/>
      <c r="AL178" s="240"/>
      <c r="AM178" s="240"/>
      <c r="AN178" s="240"/>
      <c r="AO178" s="240"/>
      <c r="AP178" s="240"/>
      <c r="AQ178" s="240"/>
      <c r="AR178" s="240"/>
      <c r="AS178" s="240"/>
      <c r="AT178" s="240"/>
      <c r="AU178" s="240"/>
      <c r="AV178" s="240"/>
      <c r="AW178" s="240"/>
      <c r="AX178" s="240"/>
      <c r="AY178" s="240"/>
      <c r="AZ178" s="240"/>
      <c r="BA178" s="240"/>
      <c r="BB178" s="240"/>
      <c r="BC178" s="240"/>
      <c r="BD178" s="240"/>
      <c r="BE178" s="240"/>
      <c r="BF178" s="240"/>
      <c r="BG178" s="240"/>
      <c r="BH178" s="240"/>
    </row>
    <row r="179" spans="2:62">
      <c r="B179" s="69">
        <f t="shared" si="192"/>
        <v>1</v>
      </c>
      <c r="C179" s="69">
        <f t="shared" si="183"/>
        <v>13</v>
      </c>
      <c r="D179" s="69" t="str">
        <f t="shared" si="193"/>
        <v>SCE&amp;G</v>
      </c>
      <c r="E179" s="70">
        <v>2007</v>
      </c>
      <c r="F179" s="388">
        <v>750.5</v>
      </c>
      <c r="G179" s="76">
        <f t="shared" si="189"/>
        <v>0.15487954757710992</v>
      </c>
      <c r="H179" s="71"/>
      <c r="I179" s="71"/>
      <c r="J179" s="388">
        <v>6986.7702300000001</v>
      </c>
      <c r="K179" s="76">
        <f>J179/$J$244</f>
        <v>7.0237417701649223E-3</v>
      </c>
      <c r="L179" s="76"/>
      <c r="M179" s="388">
        <v>1018237</v>
      </c>
      <c r="N179" s="388">
        <v>11101.447910757601</v>
      </c>
      <c r="O179" s="71">
        <f t="shared" si="190"/>
        <v>4114.6776807576007</v>
      </c>
      <c r="P179" s="76">
        <f t="shared" si="194"/>
        <v>0.37064333534100247</v>
      </c>
      <c r="Q179" s="76">
        <f t="shared" si="195"/>
        <v>0.62935666465899753</v>
      </c>
      <c r="R179" s="126">
        <f t="shared" si="191"/>
        <v>0</v>
      </c>
      <c r="S179" s="126">
        <f t="shared" si="196"/>
        <v>0.62935666465899753</v>
      </c>
      <c r="T179" s="126">
        <f t="shared" si="196"/>
        <v>-0.62935666465899753</v>
      </c>
      <c r="U179" s="240"/>
      <c r="V179" s="240"/>
      <c r="W179" s="240"/>
      <c r="X179" s="240"/>
      <c r="Y179" s="240"/>
      <c r="Z179" s="240"/>
      <c r="AA179" s="240"/>
      <c r="AB179" s="240"/>
      <c r="AC179" s="240"/>
      <c r="AD179" s="240"/>
      <c r="AE179" s="240"/>
      <c r="AF179" s="240"/>
      <c r="AG179" s="240"/>
      <c r="AH179" s="240"/>
      <c r="AI179" s="240"/>
      <c r="AJ179" s="240"/>
      <c r="AK179" s="240"/>
      <c r="AL179" s="240"/>
      <c r="AM179" s="240"/>
      <c r="AN179" s="240"/>
      <c r="AO179" s="240"/>
      <c r="AP179" s="240"/>
      <c r="AQ179" s="240"/>
      <c r="AR179" s="240"/>
      <c r="AS179" s="240"/>
      <c r="AT179" s="240"/>
      <c r="AU179" s="240"/>
      <c r="AV179" s="240"/>
      <c r="AW179" s="240"/>
      <c r="AX179" s="240"/>
      <c r="AY179" s="240"/>
      <c r="AZ179" s="240"/>
      <c r="BA179" s="240"/>
      <c r="BB179" s="240"/>
      <c r="BC179" s="240"/>
      <c r="BD179" s="240"/>
      <c r="BE179" s="240"/>
      <c r="BF179" s="240"/>
      <c r="BG179" s="240"/>
      <c r="BH179" s="240"/>
    </row>
    <row r="180" spans="2:62">
      <c r="B180" s="69">
        <f t="shared" si="192"/>
        <v>1</v>
      </c>
      <c r="C180" s="69">
        <f t="shared" si="183"/>
        <v>13</v>
      </c>
      <c r="D180" s="69" t="str">
        <f t="shared" si="193"/>
        <v>SCE&amp;G</v>
      </c>
      <c r="E180" s="70">
        <v>2008</v>
      </c>
      <c r="F180" s="388">
        <v>750.3</v>
      </c>
      <c r="G180" s="76">
        <f t="shared" si="189"/>
        <v>0.13963486142833581</v>
      </c>
      <c r="H180" s="71"/>
      <c r="I180" s="71"/>
      <c r="J180" s="388">
        <v>7493.8155900000002</v>
      </c>
      <c r="K180" s="76">
        <f>J180/$J$245</f>
        <v>6.9162852051610811E-3</v>
      </c>
      <c r="L180" s="76"/>
      <c r="M180" s="388">
        <v>917768</v>
      </c>
      <c r="N180" s="388">
        <v>7397.8510074288542</v>
      </c>
      <c r="O180" s="71">
        <f t="shared" si="190"/>
        <v>-95.964582571145911</v>
      </c>
      <c r="P180" s="76">
        <f>AVERAGE($P$175:$P$179,$P$181:$P$182)</f>
        <v>0.44666486599078531</v>
      </c>
      <c r="Q180" s="76">
        <f t="shared" si="195"/>
        <v>0.55333513400921475</v>
      </c>
      <c r="R180" s="126">
        <f t="shared" si="191"/>
        <v>0</v>
      </c>
      <c r="S180" s="126">
        <f t="shared" si="196"/>
        <v>0.55333513400921475</v>
      </c>
      <c r="T180" s="126">
        <f t="shared" si="196"/>
        <v>-0.55333513400921475</v>
      </c>
      <c r="U180" s="240"/>
      <c r="V180" s="240"/>
      <c r="W180" s="240"/>
      <c r="X180" s="240"/>
      <c r="Y180" s="240"/>
      <c r="Z180" s="240"/>
      <c r="AA180" s="240"/>
      <c r="AB180" s="240"/>
      <c r="AC180" s="240"/>
      <c r="AD180" s="240"/>
      <c r="AE180" s="240"/>
      <c r="AF180" s="240"/>
      <c r="AG180" s="240"/>
      <c r="AH180" s="240"/>
      <c r="AI180" s="240"/>
      <c r="AJ180" s="240"/>
      <c r="AK180" s="240"/>
      <c r="AL180" s="240"/>
      <c r="AM180" s="240"/>
      <c r="AN180" s="240"/>
      <c r="AO180" s="240"/>
      <c r="AP180" s="240"/>
      <c r="AQ180" s="240"/>
      <c r="AR180" s="240"/>
      <c r="AS180" s="240"/>
      <c r="AT180" s="240"/>
      <c r="AU180" s="240"/>
      <c r="AV180" s="240"/>
      <c r="AW180" s="240"/>
      <c r="AX180" s="240"/>
      <c r="AY180" s="240"/>
      <c r="AZ180" s="240"/>
      <c r="BA180" s="240"/>
      <c r="BB180" s="240"/>
      <c r="BC180" s="240"/>
      <c r="BD180" s="240"/>
      <c r="BE180" s="240"/>
      <c r="BF180" s="240"/>
      <c r="BG180" s="240"/>
      <c r="BH180" s="240"/>
    </row>
    <row r="181" spans="2:62">
      <c r="B181" s="69">
        <f t="shared" si="192"/>
        <v>1</v>
      </c>
      <c r="C181" s="69">
        <f t="shared" si="183"/>
        <v>13</v>
      </c>
      <c r="D181" s="69" t="str">
        <f t="shared" si="193"/>
        <v>SCE&amp;G</v>
      </c>
      <c r="E181" s="70">
        <v>2009</v>
      </c>
      <c r="F181" s="388">
        <v>750.3</v>
      </c>
      <c r="G181" s="76">
        <f t="shared" si="189"/>
        <v>0.14609179159386473</v>
      </c>
      <c r="H181" s="71"/>
      <c r="I181" s="71"/>
      <c r="J181" s="388">
        <v>8426.2945799999979</v>
      </c>
      <c r="K181" s="76">
        <f>J181/$J$246</f>
        <v>7.8503378991751256E-3</v>
      </c>
      <c r="L181" s="76"/>
      <c r="M181" s="388">
        <v>960207</v>
      </c>
      <c r="N181" s="388">
        <v>12035.583572090065</v>
      </c>
      <c r="O181" s="71">
        <f t="shared" si="190"/>
        <v>3609.288992090067</v>
      </c>
      <c r="P181" s="76">
        <f t="shared" si="194"/>
        <v>0.29988483487081036</v>
      </c>
      <c r="Q181" s="76">
        <f t="shared" si="195"/>
        <v>0.7001151651291897</v>
      </c>
      <c r="R181" s="126">
        <f t="shared" si="191"/>
        <v>0</v>
      </c>
      <c r="S181" s="126">
        <f t="shared" si="196"/>
        <v>0.7001151651291897</v>
      </c>
      <c r="T181" s="126">
        <f t="shared" si="196"/>
        <v>-0.7001151651291897</v>
      </c>
      <c r="U181" s="240"/>
      <c r="V181" s="240"/>
      <c r="W181" s="240"/>
      <c r="X181" s="240"/>
      <c r="Y181" s="240"/>
      <c r="Z181" s="240"/>
      <c r="AA181" s="240"/>
      <c r="AB181" s="240"/>
      <c r="AC181" s="240"/>
      <c r="AD181" s="240"/>
      <c r="AE181" s="240"/>
      <c r="AF181" s="240"/>
      <c r="AG181" s="240"/>
      <c r="AH181" s="240"/>
      <c r="AI181" s="240"/>
      <c r="AJ181" s="240"/>
      <c r="AK181" s="240"/>
      <c r="AL181" s="240"/>
      <c r="AM181" s="240"/>
      <c r="AN181" s="240"/>
      <c r="AO181" s="240"/>
      <c r="AP181" s="240"/>
      <c r="AQ181" s="240"/>
      <c r="AR181" s="240"/>
      <c r="AS181" s="240"/>
      <c r="AT181" s="240"/>
      <c r="AU181" s="240"/>
      <c r="AV181" s="240"/>
      <c r="AW181" s="240"/>
      <c r="AX181" s="240"/>
      <c r="AY181" s="240"/>
      <c r="AZ181" s="240"/>
      <c r="BA181" s="240"/>
      <c r="BB181" s="240"/>
      <c r="BC181" s="240"/>
      <c r="BD181" s="240"/>
      <c r="BE181" s="240"/>
      <c r="BF181" s="240"/>
      <c r="BG181" s="240"/>
      <c r="BH181" s="240"/>
    </row>
    <row r="182" spans="2:62">
      <c r="B182" s="69">
        <f t="shared" si="192"/>
        <v>1</v>
      </c>
      <c r="C182" s="69">
        <f t="shared" si="183"/>
        <v>13</v>
      </c>
      <c r="D182" s="69" t="str">
        <f t="shared" si="193"/>
        <v>SCE&amp;G</v>
      </c>
      <c r="E182" s="70">
        <v>2010</v>
      </c>
      <c r="F182" s="388">
        <v>750.3</v>
      </c>
      <c r="G182" s="76">
        <f t="shared" si="189"/>
        <v>0.13243332803864755</v>
      </c>
      <c r="H182" s="71"/>
      <c r="I182" s="71"/>
      <c r="J182" s="388">
        <v>7307.6624700000002</v>
      </c>
      <c r="K182" s="76">
        <f>J182/$J$247</f>
        <v>6.339203727060763E-3</v>
      </c>
      <c r="L182" s="76"/>
      <c r="M182" s="388">
        <v>870435</v>
      </c>
      <c r="N182" s="388">
        <v>12040.506547515704</v>
      </c>
      <c r="O182" s="71">
        <f t="shared" si="190"/>
        <v>4732.8440775157042</v>
      </c>
      <c r="P182" s="76">
        <f t="shared" si="194"/>
        <v>0.39307682437099983</v>
      </c>
      <c r="Q182" s="76">
        <f t="shared" si="195"/>
        <v>0.60692317562900011</v>
      </c>
      <c r="R182" s="126">
        <f t="shared" si="191"/>
        <v>0</v>
      </c>
      <c r="S182" s="126">
        <f t="shared" si="196"/>
        <v>0.60692317562900011</v>
      </c>
      <c r="T182" s="126">
        <f t="shared" si="196"/>
        <v>-0.60692317562900011</v>
      </c>
      <c r="U182" s="240"/>
      <c r="V182" s="240"/>
      <c r="W182" s="240"/>
      <c r="X182" s="240"/>
      <c r="Y182" s="240"/>
      <c r="Z182" s="240"/>
      <c r="AA182" s="240"/>
      <c r="AB182" s="240"/>
      <c r="AC182" s="240"/>
      <c r="AD182" s="240"/>
      <c r="AE182" s="240"/>
      <c r="AF182" s="240"/>
      <c r="AG182" s="240"/>
      <c r="AH182" s="240"/>
      <c r="AI182" s="240"/>
      <c r="AJ182" s="240"/>
      <c r="AK182" s="240"/>
      <c r="AL182" s="240"/>
      <c r="AM182" s="240"/>
      <c r="AN182" s="240"/>
      <c r="AO182" s="240"/>
      <c r="AP182" s="240"/>
      <c r="AQ182" s="240"/>
      <c r="AR182" s="240"/>
      <c r="AS182" s="240"/>
      <c r="AT182" s="240"/>
      <c r="AU182" s="240"/>
      <c r="AV182" s="240"/>
      <c r="AW182" s="240"/>
      <c r="AX182" s="240"/>
      <c r="AY182" s="240"/>
      <c r="AZ182" s="240"/>
      <c r="BA182" s="240"/>
      <c r="BB182" s="240"/>
      <c r="BC182" s="240"/>
      <c r="BD182" s="240"/>
      <c r="BE182" s="240"/>
      <c r="BF182" s="240"/>
      <c r="BG182" s="240"/>
      <c r="BH182" s="240"/>
    </row>
    <row r="183" spans="2:62">
      <c r="B183" s="69">
        <f t="shared" si="192"/>
        <v>1</v>
      </c>
      <c r="C183" s="69">
        <f t="shared" si="183"/>
        <v>13</v>
      </c>
      <c r="D183" s="69" t="str">
        <f t="shared" ref="D183:D186" si="197">D182</f>
        <v>SCE&amp;G</v>
      </c>
      <c r="E183" s="70">
        <v>2011</v>
      </c>
      <c r="F183" s="388">
        <v>750.3</v>
      </c>
      <c r="G183" s="76">
        <f t="shared" si="189"/>
        <v>0.11008960190657374</v>
      </c>
      <c r="H183" s="71"/>
      <c r="I183" s="71"/>
      <c r="J183" s="388">
        <v>7016.5682100000004</v>
      </c>
      <c r="K183" s="76">
        <f>J183/$J$248</f>
        <v>6.0989474103033377E-3</v>
      </c>
      <c r="L183" s="76"/>
      <c r="M183" s="388">
        <v>723578</v>
      </c>
      <c r="N183" s="388">
        <v>7326.3518371603623</v>
      </c>
      <c r="O183" s="71">
        <f t="shared" si="190"/>
        <v>309.7836271603619</v>
      </c>
      <c r="P183" s="76">
        <f>AVERAGE($P$175:$P$179,$P$181:$P$182)</f>
        <v>0.44666486599078531</v>
      </c>
      <c r="Q183" s="76">
        <f t="shared" si="195"/>
        <v>0.55333513400921475</v>
      </c>
      <c r="R183" s="126">
        <f t="shared" si="191"/>
        <v>0</v>
      </c>
      <c r="S183" s="126">
        <f t="shared" si="196"/>
        <v>0.55333513400921475</v>
      </c>
      <c r="T183" s="126">
        <f t="shared" si="196"/>
        <v>-0.55333513400921475</v>
      </c>
      <c r="U183" s="240"/>
      <c r="V183" s="240"/>
      <c r="W183" s="240"/>
      <c r="X183" s="240"/>
      <c r="Y183" s="240"/>
      <c r="Z183" s="240"/>
      <c r="AA183" s="240"/>
      <c r="AB183" s="240"/>
      <c r="AC183" s="240"/>
      <c r="AD183" s="240"/>
      <c r="AE183" s="240"/>
      <c r="AF183" s="240"/>
      <c r="AG183" s="240"/>
      <c r="AH183" s="240"/>
      <c r="AI183" s="240"/>
      <c r="AJ183" s="240"/>
      <c r="AK183" s="240"/>
      <c r="AL183" s="240"/>
      <c r="AM183" s="240"/>
      <c r="AN183" s="240"/>
      <c r="AO183" s="240"/>
      <c r="AP183" s="240"/>
      <c r="AQ183" s="240"/>
      <c r="AR183" s="240"/>
      <c r="AS183" s="240"/>
      <c r="AT183" s="240"/>
      <c r="AU183" s="240"/>
      <c r="AV183" s="240"/>
      <c r="AW183" s="240"/>
      <c r="AX183" s="240"/>
      <c r="AY183" s="240"/>
      <c r="AZ183" s="240"/>
      <c r="BA183" s="240"/>
      <c r="BB183" s="240"/>
      <c r="BC183" s="240"/>
      <c r="BD183" s="240"/>
      <c r="BE183" s="240"/>
      <c r="BF183" s="240"/>
      <c r="BG183" s="240"/>
      <c r="BH183" s="240"/>
    </row>
    <row r="184" spans="2:62">
      <c r="B184" s="69">
        <f t="shared" si="192"/>
        <v>1</v>
      </c>
      <c r="C184" s="69">
        <f t="shared" si="183"/>
        <v>13</v>
      </c>
      <c r="D184" s="69" t="str">
        <f t="shared" si="197"/>
        <v>SCE&amp;G</v>
      </c>
      <c r="E184" s="70">
        <v>2012</v>
      </c>
      <c r="F184" s="388">
        <v>750.3</v>
      </c>
      <c r="G184" s="76">
        <f t="shared" si="189"/>
        <v>0.11450442653988632</v>
      </c>
      <c r="H184" s="71"/>
      <c r="I184" s="71"/>
      <c r="J184" s="388">
        <v>7009.2767700000004</v>
      </c>
      <c r="K184" s="76">
        <f>J184/$J$249</f>
        <v>5.9059485496445541E-3</v>
      </c>
      <c r="L184" s="76"/>
      <c r="M184" s="388">
        <v>752595</v>
      </c>
      <c r="N184" s="388">
        <v>4825.4885870306171</v>
      </c>
      <c r="O184" s="71">
        <f t="shared" si="190"/>
        <v>-2183.7881829693833</v>
      </c>
      <c r="P184" s="76">
        <f>AVERAGE($P$175:$P$179,$P$181:$P$182)</f>
        <v>0.44666486599078531</v>
      </c>
      <c r="Q184" s="76">
        <f t="shared" si="195"/>
        <v>0.55333513400921475</v>
      </c>
      <c r="R184" s="126">
        <f t="shared" si="191"/>
        <v>0</v>
      </c>
      <c r="S184" s="126">
        <f t="shared" si="196"/>
        <v>0.55333513400921475</v>
      </c>
      <c r="T184" s="126">
        <f t="shared" si="196"/>
        <v>-0.55333513400921475</v>
      </c>
      <c r="U184" s="240"/>
      <c r="V184" s="240"/>
      <c r="W184" s="240"/>
      <c r="X184" s="240"/>
      <c r="Y184" s="240"/>
      <c r="Z184" s="240"/>
      <c r="AA184" s="240"/>
      <c r="AB184" s="240"/>
      <c r="AC184" s="240"/>
      <c r="AD184" s="240"/>
      <c r="AE184" s="240"/>
      <c r="AF184" s="240"/>
      <c r="AG184" s="240"/>
      <c r="AH184" s="240"/>
      <c r="AI184" s="240"/>
      <c r="AJ184" s="240"/>
      <c r="AK184" s="240"/>
      <c r="AL184" s="240"/>
      <c r="AM184" s="240"/>
      <c r="AN184" s="240"/>
      <c r="AO184" s="240"/>
      <c r="AP184" s="240"/>
      <c r="AQ184" s="240"/>
      <c r="AR184" s="240"/>
      <c r="AS184" s="240"/>
      <c r="AT184" s="240"/>
      <c r="AU184" s="240"/>
      <c r="AV184" s="240"/>
      <c r="AW184" s="240"/>
      <c r="AX184" s="240"/>
      <c r="AY184" s="240"/>
      <c r="AZ184" s="240"/>
      <c r="BA184" s="240"/>
      <c r="BB184" s="240"/>
      <c r="BC184" s="240"/>
      <c r="BD184" s="240"/>
      <c r="BE184" s="240"/>
      <c r="BF184" s="240"/>
      <c r="BG184" s="240"/>
      <c r="BH184" s="240"/>
    </row>
    <row r="185" spans="2:62">
      <c r="B185" s="69">
        <f t="shared" si="192"/>
        <v>1</v>
      </c>
      <c r="C185" s="69">
        <f t="shared" si="183"/>
        <v>13</v>
      </c>
      <c r="D185" s="69" t="str">
        <f t="shared" si="197"/>
        <v>SCE&amp;G</v>
      </c>
      <c r="E185" s="70">
        <v>2013</v>
      </c>
      <c r="F185" s="388">
        <v>750.3</v>
      </c>
      <c r="G185" s="76">
        <f t="shared" si="189"/>
        <v>0.12312015832936232</v>
      </c>
      <c r="H185" s="69"/>
      <c r="I185" s="69"/>
      <c r="J185" s="388">
        <v>7537.7782499999994</v>
      </c>
      <c r="K185" s="76">
        <f>J185/$J$250</f>
        <v>6.4240749469197129E-3</v>
      </c>
      <c r="L185" s="69"/>
      <c r="M185" s="388">
        <v>809223</v>
      </c>
      <c r="N185" s="388">
        <v>15565.697534817702</v>
      </c>
      <c r="O185" s="71">
        <f t="shared" ref="O185:O186" si="198">N185-J185</f>
        <v>8027.9192848177026</v>
      </c>
      <c r="P185" s="76">
        <f t="shared" ref="P185:P186" si="199">O185/N185</f>
        <v>0.51574426824500941</v>
      </c>
      <c r="Q185" s="76">
        <f t="shared" ref="Q185:Q186" si="200">1-P185</f>
        <v>0.48425573175499059</v>
      </c>
      <c r="R185" s="126">
        <f t="shared" ref="R185:R186" si="201">Q185*L185</f>
        <v>0</v>
      </c>
      <c r="S185" s="126">
        <f t="shared" ref="S185:S186" si="202">Q185-R185</f>
        <v>0.48425573175499059</v>
      </c>
      <c r="T185" s="126">
        <f t="shared" ref="T185:T186" si="203">R185-S185</f>
        <v>-0.48425573175499059</v>
      </c>
      <c r="U185" s="240"/>
      <c r="V185" s="240"/>
      <c r="W185" s="240"/>
      <c r="X185" s="240"/>
      <c r="Y185" s="240"/>
      <c r="Z185" s="240"/>
      <c r="AA185" s="240"/>
      <c r="AB185" s="240"/>
      <c r="AC185" s="240"/>
      <c r="AD185" s="240"/>
      <c r="AE185" s="240"/>
      <c r="AF185" s="240"/>
      <c r="AG185" s="240"/>
      <c r="AH185" s="240"/>
      <c r="AI185" s="240"/>
      <c r="AJ185" s="240"/>
      <c r="AK185" s="240"/>
      <c r="AL185" s="240"/>
      <c r="AM185" s="240"/>
      <c r="AN185" s="240"/>
      <c r="AO185" s="240"/>
      <c r="AP185" s="240"/>
      <c r="AQ185" s="240"/>
      <c r="AR185" s="240"/>
      <c r="AS185" s="240"/>
      <c r="AT185" s="240"/>
      <c r="AU185" s="240"/>
      <c r="AV185" s="240"/>
      <c r="AW185" s="240"/>
      <c r="AX185" s="240"/>
      <c r="AY185" s="240"/>
      <c r="AZ185" s="240"/>
      <c r="BA185" s="240"/>
      <c r="BB185" s="240"/>
      <c r="BC185" s="240"/>
      <c r="BD185" s="240"/>
      <c r="BE185" s="240"/>
      <c r="BF185" s="240"/>
      <c r="BG185" s="240"/>
      <c r="BH185" s="240"/>
    </row>
    <row r="186" spans="2:62">
      <c r="B186" s="69">
        <f t="shared" si="192"/>
        <v>1</v>
      </c>
      <c r="C186" s="69">
        <f t="shared" si="183"/>
        <v>13</v>
      </c>
      <c r="D186" s="69" t="str">
        <f t="shared" si="197"/>
        <v>SCE&amp;G</v>
      </c>
      <c r="E186" s="70">
        <v>2014</v>
      </c>
      <c r="F186" s="388">
        <v>750.66</v>
      </c>
      <c r="G186" s="76">
        <f t="shared" si="189"/>
        <v>9.3299935630465597E-2</v>
      </c>
      <c r="H186" s="69"/>
      <c r="I186" s="69"/>
      <c r="J186" s="388">
        <v>7830.4518299999991</v>
      </c>
      <c r="K186" s="76">
        <f>J186/$J$251</f>
        <v>6.5052133285387632E-3</v>
      </c>
      <c r="L186" s="69"/>
      <c r="M186" s="388">
        <v>613520</v>
      </c>
      <c r="N186" s="388">
        <v>14944.725632175001</v>
      </c>
      <c r="O186" s="71">
        <f t="shared" si="198"/>
        <v>7114.2738021750019</v>
      </c>
      <c r="P186" s="76">
        <f t="shared" si="199"/>
        <v>0.4760391041812399</v>
      </c>
      <c r="Q186" s="76">
        <f t="shared" si="200"/>
        <v>0.52396089581876004</v>
      </c>
      <c r="R186" s="126">
        <f t="shared" si="201"/>
        <v>0</v>
      </c>
      <c r="S186" s="126">
        <f t="shared" si="202"/>
        <v>0.52396089581876004</v>
      </c>
      <c r="T186" s="126">
        <f t="shared" si="203"/>
        <v>-0.52396089581876004</v>
      </c>
      <c r="U186" s="240"/>
      <c r="V186" s="240"/>
      <c r="W186" s="240"/>
      <c r="X186" s="240"/>
      <c r="Y186" s="240"/>
      <c r="Z186" s="240"/>
      <c r="AA186" s="240"/>
      <c r="AB186" s="240"/>
      <c r="AC186" s="240"/>
      <c r="AD186" s="240"/>
      <c r="AE186" s="240"/>
      <c r="AF186" s="240"/>
      <c r="AG186" s="240"/>
      <c r="AH186" s="240"/>
      <c r="AI186" s="240"/>
      <c r="AJ186" s="240"/>
      <c r="AK186" s="240"/>
      <c r="AL186" s="240"/>
      <c r="AM186" s="240"/>
      <c r="AN186" s="240"/>
      <c r="AO186" s="240"/>
      <c r="AP186" s="240"/>
      <c r="AQ186" s="240"/>
      <c r="AR186" s="240"/>
      <c r="AS186" s="240"/>
      <c r="AT186" s="240"/>
      <c r="AU186" s="240"/>
      <c r="AV186" s="240"/>
      <c r="AW186" s="240"/>
      <c r="AX186" s="240"/>
      <c r="AY186" s="240"/>
      <c r="AZ186" s="240"/>
      <c r="BA186" s="240"/>
      <c r="BB186" s="240"/>
      <c r="BC186" s="240"/>
      <c r="BD186" s="240"/>
      <c r="BE186" s="240"/>
      <c r="BF186" s="240"/>
      <c r="BG186" s="240"/>
      <c r="BH186" s="240"/>
    </row>
    <row r="187" spans="2:62">
      <c r="B187" s="72">
        <f>'OPG hydro peers'!B18</f>
        <v>0</v>
      </c>
      <c r="C187" s="72">
        <f t="shared" ref="B187:D195" si="204">C186</f>
        <v>13</v>
      </c>
      <c r="D187" s="72" t="str">
        <f>'OPG hydro peers'!D18</f>
        <v>Alcoa</v>
      </c>
      <c r="E187" s="73">
        <v>2002</v>
      </c>
      <c r="F187" s="390">
        <v>546</v>
      </c>
      <c r="G187" s="75">
        <f t="shared" ref="G187:G196" si="205">M187/(F187*8760)</f>
        <v>0.35685073050997707</v>
      </c>
      <c r="H187" s="127"/>
      <c r="I187" s="127"/>
      <c r="J187" s="389">
        <v>10504.098750000001</v>
      </c>
      <c r="K187" s="75">
        <f t="shared" ref="K187:K199" si="206">J187/$J239</f>
        <v>1.4757809731609402E-2</v>
      </c>
      <c r="L187" s="75"/>
      <c r="M187" s="390">
        <v>1706802.77</v>
      </c>
      <c r="N187" s="389">
        <v>51416.27632015002</v>
      </c>
      <c r="O187" s="127">
        <f t="shared" ref="O187:O199" si="207">N187-J187</f>
        <v>40912.177570150016</v>
      </c>
      <c r="P187" s="75">
        <f>O187/N187</f>
        <v>0.79570479424463003</v>
      </c>
      <c r="Q187" s="75">
        <f>1-P187</f>
        <v>0.20429520575536997</v>
      </c>
      <c r="R187" s="125">
        <f t="shared" ref="R187:R199" si="208">Q187*L187</f>
        <v>0</v>
      </c>
      <c r="S187" s="125">
        <f>Q187-R187</f>
        <v>0.20429520575536997</v>
      </c>
      <c r="T187" s="125">
        <f>R187-S187</f>
        <v>-0.20429520575536997</v>
      </c>
      <c r="U187" s="240"/>
      <c r="V187" s="240"/>
      <c r="W187" s="240"/>
      <c r="X187" s="240"/>
      <c r="Y187" s="240"/>
      <c r="Z187" s="240"/>
      <c r="AA187" s="240"/>
      <c r="AB187" s="240"/>
      <c r="AC187" s="240"/>
      <c r="AD187" s="240"/>
      <c r="AE187" s="240"/>
      <c r="AF187" s="240"/>
      <c r="AG187" s="240"/>
      <c r="AH187" s="240"/>
      <c r="AI187" s="240"/>
      <c r="AJ187" s="240"/>
      <c r="AK187" s="240"/>
      <c r="AL187" s="240"/>
      <c r="AM187" s="240"/>
      <c r="AN187" s="240"/>
      <c r="AO187" s="240"/>
      <c r="AP187" s="240"/>
      <c r="AQ187" s="240"/>
      <c r="AR187" s="240"/>
      <c r="AS187" s="240"/>
      <c r="AT187" s="240"/>
      <c r="AU187" s="240"/>
      <c r="AV187" s="240"/>
      <c r="AW187" s="240"/>
      <c r="AX187" s="240"/>
      <c r="AY187" s="240"/>
      <c r="AZ187" s="240"/>
      <c r="BA187" s="240"/>
      <c r="BB187" s="240"/>
      <c r="BC187" s="240"/>
      <c r="BD187" s="240"/>
      <c r="BE187" s="240"/>
      <c r="BF187" s="240"/>
      <c r="BG187" s="240"/>
      <c r="BH187" s="240"/>
      <c r="BI187" s="240"/>
      <c r="BJ187" s="240"/>
    </row>
    <row r="188" spans="2:62">
      <c r="B188" s="72">
        <f t="shared" si="204"/>
        <v>0</v>
      </c>
      <c r="C188" s="72">
        <f t="shared" si="204"/>
        <v>13</v>
      </c>
      <c r="D188" s="72" t="str">
        <f t="shared" si="204"/>
        <v>Alcoa</v>
      </c>
      <c r="E188" s="73">
        <v>2003</v>
      </c>
      <c r="F188" s="390">
        <v>556</v>
      </c>
      <c r="G188" s="75">
        <f t="shared" si="205"/>
        <v>0.62195338934331978</v>
      </c>
      <c r="H188" s="127"/>
      <c r="I188" s="127"/>
      <c r="J188" s="389">
        <v>11200.216250000001</v>
      </c>
      <c r="K188" s="75">
        <f t="shared" si="206"/>
        <v>1.4056401871897136E-2</v>
      </c>
      <c r="L188" s="75"/>
      <c r="M188" s="390">
        <v>3029261.3</v>
      </c>
      <c r="N188" s="389">
        <v>116035.91786029999</v>
      </c>
      <c r="O188" s="127">
        <f t="shared" si="207"/>
        <v>104835.70161029999</v>
      </c>
      <c r="P188" s="75">
        <f t="shared" ref="P188:P199" si="209">O188/N188</f>
        <v>0.90347629892078452</v>
      </c>
      <c r="Q188" s="75">
        <f t="shared" ref="Q188:Q199" si="210">1-P188</f>
        <v>9.6523701079215485E-2</v>
      </c>
      <c r="R188" s="125">
        <f t="shared" si="208"/>
        <v>0</v>
      </c>
      <c r="S188" s="125">
        <f t="shared" ref="S188:T199" si="211">Q188-R188</f>
        <v>9.6523701079215485E-2</v>
      </c>
      <c r="T188" s="125">
        <f t="shared" si="211"/>
        <v>-9.6523701079215485E-2</v>
      </c>
      <c r="U188" s="240"/>
      <c r="V188" s="240"/>
      <c r="W188" s="240"/>
      <c r="X188" s="240"/>
      <c r="Y188" s="240"/>
      <c r="Z188" s="240"/>
      <c r="AA188" s="240"/>
      <c r="AB188" s="240"/>
      <c r="AC188" s="240"/>
      <c r="AD188" s="240"/>
      <c r="AE188" s="240"/>
      <c r="AF188" s="240"/>
      <c r="AG188" s="240"/>
      <c r="AH188" s="240"/>
      <c r="AI188" s="240"/>
      <c r="AJ188" s="240"/>
      <c r="AK188" s="240"/>
      <c r="AL188" s="240"/>
      <c r="AM188" s="240"/>
      <c r="AN188" s="240"/>
      <c r="AO188" s="240"/>
      <c r="AP188" s="240"/>
      <c r="AQ188" s="240"/>
      <c r="AR188" s="240"/>
      <c r="AS188" s="240"/>
      <c r="AT188" s="240"/>
      <c r="AU188" s="240"/>
      <c r="AV188" s="240"/>
      <c r="AW188" s="240"/>
      <c r="AX188" s="240"/>
      <c r="AY188" s="240"/>
      <c r="AZ188" s="240"/>
      <c r="BA188" s="240"/>
      <c r="BB188" s="240"/>
      <c r="BC188" s="240"/>
      <c r="BD188" s="240"/>
      <c r="BE188" s="240"/>
      <c r="BF188" s="240"/>
      <c r="BG188" s="240"/>
      <c r="BH188" s="240"/>
      <c r="BI188" s="240"/>
      <c r="BJ188" s="240"/>
    </row>
    <row r="189" spans="2:62">
      <c r="B189" s="72">
        <f t="shared" si="204"/>
        <v>0</v>
      </c>
      <c r="C189" s="72">
        <f t="shared" si="204"/>
        <v>13</v>
      </c>
      <c r="D189" s="72" t="str">
        <f t="shared" si="204"/>
        <v>Alcoa</v>
      </c>
      <c r="E189" s="73">
        <v>2004</v>
      </c>
      <c r="F189" s="390">
        <v>513.5</v>
      </c>
      <c r="G189" s="75">
        <f t="shared" si="205"/>
        <v>0.5039609337832851</v>
      </c>
      <c r="H189" s="127"/>
      <c r="I189" s="127"/>
      <c r="J189" s="389">
        <v>8133.2287499999993</v>
      </c>
      <c r="K189" s="75">
        <f t="shared" si="206"/>
        <v>9.9026301726202609E-3</v>
      </c>
      <c r="L189" s="75"/>
      <c r="M189" s="390">
        <v>2266947.31</v>
      </c>
      <c r="N189" s="389">
        <v>103130.52718456983</v>
      </c>
      <c r="O189" s="127">
        <f t="shared" si="207"/>
        <v>94997.298434569835</v>
      </c>
      <c r="P189" s="75">
        <f t="shared" si="209"/>
        <v>0.92113655411220596</v>
      </c>
      <c r="Q189" s="75">
        <f t="shared" si="210"/>
        <v>7.8863445887794037E-2</v>
      </c>
      <c r="R189" s="125">
        <f t="shared" si="208"/>
        <v>0</v>
      </c>
      <c r="S189" s="125">
        <f t="shared" si="211"/>
        <v>7.8863445887794037E-2</v>
      </c>
      <c r="T189" s="125">
        <f t="shared" si="211"/>
        <v>-7.8863445887794037E-2</v>
      </c>
      <c r="U189" s="240"/>
      <c r="V189" s="240"/>
      <c r="W189" s="240"/>
      <c r="X189" s="240"/>
      <c r="Y189" s="240"/>
      <c r="Z189" s="240"/>
      <c r="AA189" s="240"/>
      <c r="AB189" s="240"/>
      <c r="AC189" s="240"/>
      <c r="AD189" s="240"/>
      <c r="AE189" s="240"/>
      <c r="AF189" s="240"/>
      <c r="AG189" s="240"/>
      <c r="AH189" s="240"/>
      <c r="AI189" s="240"/>
      <c r="AJ189" s="240"/>
      <c r="AK189" s="240"/>
      <c r="AL189" s="240"/>
      <c r="AM189" s="240"/>
      <c r="AN189" s="240"/>
      <c r="AO189" s="240"/>
      <c r="AP189" s="240"/>
      <c r="AQ189" s="240"/>
      <c r="AR189" s="240"/>
      <c r="AS189" s="240"/>
      <c r="AT189" s="240"/>
      <c r="AU189" s="240"/>
      <c r="AV189" s="240"/>
      <c r="AW189" s="240"/>
      <c r="AX189" s="240"/>
      <c r="AY189" s="240"/>
      <c r="AZ189" s="240"/>
      <c r="BA189" s="240"/>
      <c r="BB189" s="240"/>
      <c r="BC189" s="240"/>
      <c r="BD189" s="240"/>
      <c r="BE189" s="240"/>
      <c r="BF189" s="240"/>
      <c r="BG189" s="240"/>
      <c r="BH189" s="240"/>
      <c r="BI189" s="240"/>
      <c r="BJ189" s="240"/>
    </row>
    <row r="190" spans="2:62">
      <c r="B190" s="72">
        <f t="shared" si="204"/>
        <v>0</v>
      </c>
      <c r="C190" s="72">
        <f t="shared" si="204"/>
        <v>13</v>
      </c>
      <c r="D190" s="72" t="str">
        <f t="shared" si="204"/>
        <v>Alcoa</v>
      </c>
      <c r="E190" s="73">
        <v>2005</v>
      </c>
      <c r="F190" s="390">
        <v>554</v>
      </c>
      <c r="G190" s="75">
        <f t="shared" si="205"/>
        <v>0.4731778431663452</v>
      </c>
      <c r="H190" s="127"/>
      <c r="I190" s="127"/>
      <c r="J190" s="389">
        <v>9029.4825000000001</v>
      </c>
      <c r="K190" s="75">
        <f t="shared" si="206"/>
        <v>1.0410469328140907E-2</v>
      </c>
      <c r="L190" s="75"/>
      <c r="M190" s="390">
        <v>2296351</v>
      </c>
      <c r="N190" s="389">
        <v>156875.53910886988</v>
      </c>
      <c r="O190" s="127">
        <f t="shared" si="207"/>
        <v>147846.05660886987</v>
      </c>
      <c r="P190" s="75">
        <f t="shared" si="209"/>
        <v>0.94244174361859145</v>
      </c>
      <c r="Q190" s="75">
        <f t="shared" si="210"/>
        <v>5.7558256381408546E-2</v>
      </c>
      <c r="R190" s="125">
        <f t="shared" si="208"/>
        <v>0</v>
      </c>
      <c r="S190" s="125">
        <f t="shared" si="211"/>
        <v>5.7558256381408546E-2</v>
      </c>
      <c r="T190" s="125">
        <f t="shared" si="211"/>
        <v>-5.7558256381408546E-2</v>
      </c>
      <c r="U190" s="240"/>
      <c r="V190" s="240"/>
      <c r="W190" s="240"/>
      <c r="X190" s="240"/>
      <c r="Y190" s="240"/>
      <c r="Z190" s="240"/>
      <c r="AA190" s="240"/>
      <c r="AB190" s="240"/>
      <c r="AC190" s="240"/>
      <c r="AD190" s="240"/>
      <c r="AE190" s="240"/>
      <c r="AF190" s="240"/>
      <c r="AG190" s="240"/>
      <c r="AH190" s="240"/>
      <c r="AI190" s="240"/>
      <c r="AJ190" s="240"/>
      <c r="AK190" s="240"/>
      <c r="AL190" s="240"/>
      <c r="AM190" s="240"/>
      <c r="AN190" s="240"/>
      <c r="AO190" s="240"/>
      <c r="AP190" s="240"/>
      <c r="AQ190" s="240"/>
      <c r="AR190" s="240"/>
      <c r="AS190" s="240"/>
      <c r="AT190" s="240"/>
      <c r="AU190" s="240"/>
      <c r="AV190" s="240"/>
      <c r="AW190" s="240"/>
      <c r="AX190" s="240"/>
      <c r="AY190" s="240"/>
      <c r="AZ190" s="240"/>
      <c r="BA190" s="240"/>
      <c r="BB190" s="240"/>
      <c r="BC190" s="240"/>
      <c r="BD190" s="240"/>
      <c r="BE190" s="240"/>
      <c r="BF190" s="240"/>
      <c r="BG190" s="240"/>
      <c r="BH190" s="240"/>
      <c r="BI190" s="240"/>
      <c r="BJ190" s="240"/>
    </row>
    <row r="191" spans="2:62">
      <c r="B191" s="72">
        <f t="shared" si="204"/>
        <v>0</v>
      </c>
      <c r="C191" s="72">
        <f t="shared" si="204"/>
        <v>13</v>
      </c>
      <c r="D191" s="72" t="str">
        <f t="shared" si="204"/>
        <v>Alcoa</v>
      </c>
      <c r="E191" s="73">
        <v>2006</v>
      </c>
      <c r="F191" s="390">
        <v>513.5</v>
      </c>
      <c r="G191" s="75">
        <f t="shared" si="205"/>
        <v>0.37663051935637337</v>
      </c>
      <c r="H191" s="127"/>
      <c r="I191" s="127"/>
      <c r="J191" s="389">
        <v>8076.3</v>
      </c>
      <c r="K191" s="75">
        <f t="shared" si="206"/>
        <v>8.842211674354691E-3</v>
      </c>
      <c r="L191" s="75"/>
      <c r="M191" s="390">
        <v>1694182</v>
      </c>
      <c r="N191" s="389">
        <v>94851.489977201636</v>
      </c>
      <c r="O191" s="127">
        <f t="shared" si="207"/>
        <v>86775.189977201633</v>
      </c>
      <c r="P191" s="75">
        <f t="shared" si="209"/>
        <v>0.9148532089275434</v>
      </c>
      <c r="Q191" s="75">
        <f t="shared" si="210"/>
        <v>8.5146791072456596E-2</v>
      </c>
      <c r="R191" s="125">
        <f t="shared" si="208"/>
        <v>0</v>
      </c>
      <c r="S191" s="125">
        <f t="shared" si="211"/>
        <v>8.5146791072456596E-2</v>
      </c>
      <c r="T191" s="125">
        <f t="shared" si="211"/>
        <v>-8.5146791072456596E-2</v>
      </c>
      <c r="U191" s="240"/>
      <c r="V191" s="240"/>
      <c r="W191" s="240"/>
      <c r="X191" s="240"/>
      <c r="Y191" s="240"/>
      <c r="Z191" s="240"/>
      <c r="AA191" s="240"/>
      <c r="AB191" s="240"/>
      <c r="AC191" s="240"/>
      <c r="AD191" s="240"/>
      <c r="AE191" s="240"/>
      <c r="AF191" s="240"/>
      <c r="AG191" s="240"/>
      <c r="AH191" s="240"/>
      <c r="AI191" s="240"/>
      <c r="AJ191" s="240"/>
      <c r="AK191" s="240"/>
      <c r="AL191" s="240"/>
      <c r="AM191" s="240"/>
      <c r="AN191" s="240"/>
      <c r="AO191" s="240"/>
      <c r="AP191" s="240"/>
      <c r="AQ191" s="240"/>
      <c r="AR191" s="240"/>
      <c r="AS191" s="240"/>
      <c r="AT191" s="240"/>
      <c r="AU191" s="240"/>
      <c r="AV191" s="240"/>
      <c r="AW191" s="240"/>
      <c r="AX191" s="240"/>
      <c r="AY191" s="240"/>
      <c r="AZ191" s="240"/>
      <c r="BA191" s="240"/>
      <c r="BB191" s="240"/>
      <c r="BC191" s="240"/>
      <c r="BD191" s="240"/>
      <c r="BE191" s="240"/>
      <c r="BF191" s="240"/>
      <c r="BG191" s="240"/>
      <c r="BH191" s="240"/>
      <c r="BI191" s="240"/>
      <c r="BJ191" s="240"/>
    </row>
    <row r="192" spans="2:62">
      <c r="B192" s="72">
        <f t="shared" si="204"/>
        <v>0</v>
      </c>
      <c r="C192" s="72">
        <f t="shared" si="204"/>
        <v>13</v>
      </c>
      <c r="D192" s="72" t="str">
        <f t="shared" si="204"/>
        <v>Alcoa</v>
      </c>
      <c r="E192" s="73">
        <v>2007</v>
      </c>
      <c r="F192" s="390">
        <v>513.5</v>
      </c>
      <c r="G192" s="75">
        <f t="shared" si="205"/>
        <v>0.27468710501393873</v>
      </c>
      <c r="H192" s="127"/>
      <c r="I192" s="127"/>
      <c r="J192" s="389">
        <v>8161.0675000000001</v>
      </c>
      <c r="K192" s="75">
        <f t="shared" si="206"/>
        <v>8.2042530098897243E-3</v>
      </c>
      <c r="L192" s="75"/>
      <c r="M192" s="390">
        <v>1235614.017</v>
      </c>
      <c r="N192" s="389">
        <v>72362.646656670273</v>
      </c>
      <c r="O192" s="127">
        <f t="shared" si="207"/>
        <v>64201.579156670276</v>
      </c>
      <c r="P192" s="75">
        <f t="shared" si="209"/>
        <v>0.88721988654283523</v>
      </c>
      <c r="Q192" s="75">
        <f t="shared" si="210"/>
        <v>0.11278011345716477</v>
      </c>
      <c r="R192" s="125">
        <f t="shared" si="208"/>
        <v>0</v>
      </c>
      <c r="S192" s="125">
        <f t="shared" si="211"/>
        <v>0.11278011345716477</v>
      </c>
      <c r="T192" s="125">
        <f t="shared" si="211"/>
        <v>-0.11278011345716477</v>
      </c>
      <c r="U192" s="240"/>
      <c r="V192" s="240"/>
      <c r="W192" s="240"/>
      <c r="X192" s="240"/>
      <c r="Y192" s="240"/>
      <c r="Z192" s="240"/>
      <c r="AA192" s="240"/>
      <c r="AB192" s="240"/>
      <c r="AC192" s="240"/>
      <c r="AD192" s="240"/>
      <c r="AE192" s="240"/>
      <c r="AF192" s="240"/>
      <c r="AG192" s="240"/>
      <c r="AH192" s="240"/>
      <c r="AI192" s="240"/>
      <c r="AJ192" s="240"/>
      <c r="AK192" s="240"/>
      <c r="AL192" s="240"/>
      <c r="AM192" s="240"/>
      <c r="AN192" s="240"/>
      <c r="AO192" s="240"/>
      <c r="AP192" s="240"/>
      <c r="AQ192" s="240"/>
      <c r="AR192" s="240"/>
      <c r="AS192" s="240"/>
      <c r="AT192" s="240"/>
      <c r="AU192" s="240"/>
      <c r="AV192" s="240"/>
      <c r="AW192" s="240"/>
      <c r="AX192" s="240"/>
      <c r="AY192" s="240"/>
      <c r="AZ192" s="240"/>
      <c r="BA192" s="240"/>
      <c r="BB192" s="240"/>
      <c r="BC192" s="240"/>
      <c r="BD192" s="240"/>
      <c r="BE192" s="240"/>
      <c r="BF192" s="240"/>
      <c r="BG192" s="240"/>
      <c r="BH192" s="240"/>
      <c r="BI192" s="240"/>
      <c r="BJ192" s="240"/>
    </row>
    <row r="193" spans="2:62">
      <c r="B193" s="72">
        <f t="shared" si="204"/>
        <v>0</v>
      </c>
      <c r="C193" s="72">
        <f t="shared" si="204"/>
        <v>13</v>
      </c>
      <c r="D193" s="72" t="str">
        <f t="shared" si="204"/>
        <v>Alcoa</v>
      </c>
      <c r="E193" s="73">
        <v>2008</v>
      </c>
      <c r="F193" s="390">
        <v>563.4</v>
      </c>
      <c r="G193" s="75">
        <f t="shared" si="205"/>
        <v>0.27215734378520495</v>
      </c>
      <c r="H193" s="127"/>
      <c r="I193" s="127"/>
      <c r="J193" s="389">
        <v>8846.3237499999996</v>
      </c>
      <c r="K193" s="75">
        <f t="shared" si="206"/>
        <v>8.1645588068427616E-3</v>
      </c>
      <c r="L193" s="75"/>
      <c r="M193" s="390">
        <v>1343201</v>
      </c>
      <c r="N193" s="389">
        <v>91639.061348249787</v>
      </c>
      <c r="O193" s="127">
        <f t="shared" si="207"/>
        <v>82792.737598249791</v>
      </c>
      <c r="P193" s="75">
        <f t="shared" si="209"/>
        <v>0.90346557876251155</v>
      </c>
      <c r="Q193" s="75">
        <f t="shared" si="210"/>
        <v>9.6534421237488455E-2</v>
      </c>
      <c r="R193" s="125">
        <f t="shared" si="208"/>
        <v>0</v>
      </c>
      <c r="S193" s="125">
        <f t="shared" si="211"/>
        <v>9.6534421237488455E-2</v>
      </c>
      <c r="T193" s="125">
        <f t="shared" si="211"/>
        <v>-9.6534421237488455E-2</v>
      </c>
      <c r="U193" s="240"/>
      <c r="V193" s="240"/>
      <c r="W193" s="240"/>
      <c r="X193" s="240"/>
      <c r="Y193" s="240"/>
      <c r="Z193" s="240"/>
      <c r="AA193" s="240"/>
      <c r="AB193" s="240"/>
      <c r="AC193" s="240"/>
      <c r="AD193" s="240"/>
      <c r="AE193" s="240"/>
      <c r="AF193" s="240"/>
      <c r="AG193" s="240"/>
      <c r="AH193" s="240"/>
      <c r="AI193" s="240"/>
      <c r="AJ193" s="240"/>
      <c r="AK193" s="240"/>
      <c r="AL193" s="240"/>
      <c r="AM193" s="240"/>
      <c r="AN193" s="240"/>
      <c r="AO193" s="240"/>
      <c r="AP193" s="240"/>
      <c r="AQ193" s="240"/>
      <c r="AR193" s="240"/>
      <c r="AS193" s="240"/>
      <c r="AT193" s="240"/>
      <c r="AU193" s="240"/>
      <c r="AV193" s="240"/>
      <c r="AW193" s="240"/>
      <c r="AX193" s="240"/>
      <c r="AY193" s="240"/>
      <c r="AZ193" s="240"/>
      <c r="BA193" s="240"/>
      <c r="BB193" s="240"/>
      <c r="BC193" s="240"/>
      <c r="BD193" s="240"/>
      <c r="BE193" s="240"/>
      <c r="BF193" s="240"/>
      <c r="BG193" s="240"/>
      <c r="BH193" s="240"/>
      <c r="BI193" s="240"/>
      <c r="BJ193" s="240"/>
    </row>
    <row r="194" spans="2:62">
      <c r="B194" s="72">
        <f t="shared" si="204"/>
        <v>0</v>
      </c>
      <c r="C194" s="72">
        <f t="shared" si="204"/>
        <v>13</v>
      </c>
      <c r="D194" s="72" t="str">
        <f t="shared" si="204"/>
        <v>Alcoa</v>
      </c>
      <c r="E194" s="73">
        <v>2009</v>
      </c>
      <c r="F194" s="390">
        <v>513.5</v>
      </c>
      <c r="G194" s="75">
        <f t="shared" si="205"/>
        <v>0.51129814639438365</v>
      </c>
      <c r="H194" s="127"/>
      <c r="I194" s="127"/>
      <c r="J194" s="389">
        <v>10413.83</v>
      </c>
      <c r="K194" s="75">
        <f t="shared" si="206"/>
        <v>9.7020206863651943E-3</v>
      </c>
      <c r="L194" s="75"/>
      <c r="M194" s="390">
        <v>2299952</v>
      </c>
      <c r="N194" s="389">
        <v>93230.082798168893</v>
      </c>
      <c r="O194" s="127">
        <f t="shared" si="207"/>
        <v>82816.252798168891</v>
      </c>
      <c r="P194" s="75">
        <f t="shared" si="209"/>
        <v>0.88829968088149613</v>
      </c>
      <c r="Q194" s="75">
        <f t="shared" si="210"/>
        <v>0.11170031911850387</v>
      </c>
      <c r="R194" s="125">
        <f t="shared" si="208"/>
        <v>0</v>
      </c>
      <c r="S194" s="125">
        <f t="shared" si="211"/>
        <v>0.11170031911850387</v>
      </c>
      <c r="T194" s="125">
        <f t="shared" si="211"/>
        <v>-0.11170031911850387</v>
      </c>
      <c r="U194" s="240"/>
      <c r="V194" s="240"/>
      <c r="W194" s="240"/>
      <c r="X194" s="240"/>
      <c r="Y194" s="240"/>
      <c r="Z194" s="240"/>
      <c r="AA194" s="240"/>
      <c r="AB194" s="240"/>
      <c r="AC194" s="240"/>
      <c r="AD194" s="240"/>
      <c r="AE194" s="240"/>
      <c r="AF194" s="240"/>
      <c r="AG194" s="240"/>
      <c r="AH194" s="240"/>
      <c r="AI194" s="240"/>
      <c r="AJ194" s="240"/>
      <c r="AK194" s="240"/>
      <c r="AL194" s="240"/>
      <c r="AM194" s="240"/>
      <c r="AN194" s="240"/>
      <c r="AO194" s="240"/>
      <c r="AP194" s="240"/>
      <c r="AQ194" s="240"/>
      <c r="AR194" s="240"/>
      <c r="AS194" s="240"/>
      <c r="AT194" s="240"/>
      <c r="AU194" s="240"/>
      <c r="AV194" s="240"/>
      <c r="AW194" s="240"/>
      <c r="AX194" s="240"/>
      <c r="AY194" s="240"/>
      <c r="AZ194" s="240"/>
      <c r="BA194" s="240"/>
      <c r="BB194" s="240"/>
      <c r="BC194" s="240"/>
      <c r="BD194" s="240"/>
      <c r="BE194" s="240"/>
      <c r="BF194" s="240"/>
      <c r="BG194" s="240"/>
      <c r="BH194" s="240"/>
      <c r="BI194" s="240"/>
      <c r="BJ194" s="240"/>
    </row>
    <row r="195" spans="2:62">
      <c r="B195" s="72">
        <f t="shared" si="204"/>
        <v>0</v>
      </c>
      <c r="C195" s="72">
        <f t="shared" si="204"/>
        <v>13</v>
      </c>
      <c r="D195" s="72" t="str">
        <f t="shared" si="204"/>
        <v>Alcoa</v>
      </c>
      <c r="E195" s="73">
        <v>2010</v>
      </c>
      <c r="F195" s="390">
        <v>513.5</v>
      </c>
      <c r="G195" s="75">
        <f t="shared" si="205"/>
        <v>0.45810513398514091</v>
      </c>
      <c r="H195" s="127"/>
      <c r="I195" s="127"/>
      <c r="J195" s="389">
        <v>8766.75</v>
      </c>
      <c r="K195" s="75">
        <f t="shared" si="206"/>
        <v>7.6049235309317651E-3</v>
      </c>
      <c r="L195" s="75"/>
      <c r="M195" s="390">
        <v>2060676</v>
      </c>
      <c r="N195" s="389">
        <v>95840.938713489188</v>
      </c>
      <c r="O195" s="127">
        <f t="shared" si="207"/>
        <v>87074.188713489188</v>
      </c>
      <c r="P195" s="75">
        <f t="shared" si="209"/>
        <v>0.90852812881760603</v>
      </c>
      <c r="Q195" s="75">
        <f t="shared" si="210"/>
        <v>9.1471871182393971E-2</v>
      </c>
      <c r="R195" s="125">
        <f t="shared" si="208"/>
        <v>0</v>
      </c>
      <c r="S195" s="125">
        <f t="shared" si="211"/>
        <v>9.1471871182393971E-2</v>
      </c>
      <c r="T195" s="125">
        <f t="shared" si="211"/>
        <v>-9.1471871182393971E-2</v>
      </c>
      <c r="U195" s="240"/>
      <c r="V195" s="240"/>
      <c r="W195" s="240"/>
      <c r="X195" s="240"/>
      <c r="Y195" s="240"/>
      <c r="Z195" s="240"/>
      <c r="AA195" s="240"/>
      <c r="AB195" s="240"/>
      <c r="AC195" s="240"/>
      <c r="AD195" s="240"/>
      <c r="AE195" s="240"/>
      <c r="AF195" s="240"/>
      <c r="AG195" s="240"/>
      <c r="AH195" s="240"/>
      <c r="AI195" s="240"/>
      <c r="AJ195" s="240"/>
      <c r="AK195" s="240"/>
      <c r="AL195" s="240"/>
      <c r="AM195" s="240"/>
      <c r="AN195" s="240"/>
      <c r="AO195" s="240"/>
      <c r="AP195" s="240"/>
      <c r="AQ195" s="240"/>
      <c r="AR195" s="240"/>
      <c r="AS195" s="240"/>
      <c r="AT195" s="240"/>
      <c r="AU195" s="240"/>
      <c r="AV195" s="240"/>
      <c r="AW195" s="240"/>
      <c r="AX195" s="240"/>
      <c r="AY195" s="240"/>
      <c r="AZ195" s="240"/>
      <c r="BA195" s="240"/>
      <c r="BB195" s="240"/>
      <c r="BC195" s="240"/>
      <c r="BD195" s="240"/>
      <c r="BE195" s="240"/>
      <c r="BF195" s="240"/>
      <c r="BG195" s="240"/>
      <c r="BH195" s="240"/>
      <c r="BI195" s="240"/>
      <c r="BJ195" s="240"/>
    </row>
    <row r="196" spans="2:62">
      <c r="B196" s="72">
        <f t="shared" ref="B196:D199" si="212">B195</f>
        <v>0</v>
      </c>
      <c r="C196" s="72">
        <f t="shared" si="212"/>
        <v>13</v>
      </c>
      <c r="D196" s="72" t="str">
        <f t="shared" si="212"/>
        <v>Alcoa</v>
      </c>
      <c r="E196" s="73">
        <v>2011</v>
      </c>
      <c r="F196" s="390">
        <v>567.27</v>
      </c>
      <c r="G196" s="75">
        <f t="shared" si="205"/>
        <v>0.34856119749375625</v>
      </c>
      <c r="H196" s="127"/>
      <c r="I196" s="127"/>
      <c r="J196" s="389">
        <v>19180.72625</v>
      </c>
      <c r="K196" s="75">
        <f t="shared" si="206"/>
        <v>1.6672287247696371E-2</v>
      </c>
      <c r="L196" s="75"/>
      <c r="M196" s="390">
        <v>1732100</v>
      </c>
      <c r="N196" s="389">
        <v>79804.206567075002</v>
      </c>
      <c r="O196" s="127">
        <f t="shared" si="207"/>
        <v>60623.480317075002</v>
      </c>
      <c r="P196" s="75">
        <f t="shared" si="209"/>
        <v>0.75965269156734605</v>
      </c>
      <c r="Q196" s="75">
        <f t="shared" si="210"/>
        <v>0.24034730843265395</v>
      </c>
      <c r="R196" s="125">
        <f t="shared" si="208"/>
        <v>0</v>
      </c>
      <c r="S196" s="125">
        <f t="shared" si="211"/>
        <v>0.24034730843265395</v>
      </c>
      <c r="T196" s="125">
        <f t="shared" si="211"/>
        <v>-0.24034730843265395</v>
      </c>
      <c r="U196" s="240"/>
      <c r="V196" s="240"/>
      <c r="W196" s="240"/>
      <c r="X196" s="240"/>
      <c r="Y196" s="240"/>
      <c r="Z196" s="240"/>
      <c r="AA196" s="240"/>
      <c r="AB196" s="240"/>
      <c r="AC196" s="240"/>
      <c r="AD196" s="240"/>
      <c r="AE196" s="240"/>
      <c r="AF196" s="240"/>
      <c r="AG196" s="240"/>
      <c r="AH196" s="240"/>
      <c r="AI196" s="240"/>
      <c r="AJ196" s="240"/>
      <c r="AK196" s="240"/>
      <c r="AL196" s="240"/>
      <c r="AM196" s="240"/>
      <c r="AN196" s="240"/>
      <c r="AO196" s="240"/>
      <c r="AP196" s="240"/>
      <c r="AQ196" s="240"/>
      <c r="AR196" s="240"/>
      <c r="AS196" s="240"/>
      <c r="AT196" s="240"/>
      <c r="AU196" s="240"/>
      <c r="AV196" s="240"/>
      <c r="AW196" s="240"/>
      <c r="AX196" s="240"/>
      <c r="AY196" s="240"/>
      <c r="AZ196" s="240"/>
      <c r="BA196" s="240"/>
      <c r="BB196" s="240"/>
      <c r="BC196" s="240"/>
      <c r="BD196" s="240"/>
      <c r="BE196" s="240"/>
      <c r="BF196" s="240"/>
      <c r="BG196" s="240"/>
      <c r="BH196" s="240"/>
      <c r="BI196" s="240"/>
      <c r="BJ196" s="240"/>
    </row>
    <row r="197" spans="2:62">
      <c r="B197" s="72">
        <f t="shared" si="212"/>
        <v>0</v>
      </c>
      <c r="C197" s="72">
        <f t="shared" si="212"/>
        <v>13</v>
      </c>
      <c r="D197" s="72" t="str">
        <f t="shared" si="212"/>
        <v>Alcoa</v>
      </c>
      <c r="E197" s="73">
        <v>2012</v>
      </c>
      <c r="F197" s="390">
        <v>513.5</v>
      </c>
      <c r="G197" s="75">
        <f>M197/(F197*8760)</f>
        <v>0.32599278387643221</v>
      </c>
      <c r="H197" s="127"/>
      <c r="I197" s="127"/>
      <c r="J197" s="389">
        <v>15422.51375</v>
      </c>
      <c r="K197" s="75">
        <f t="shared" si="206"/>
        <v>1.2994860340446463E-2</v>
      </c>
      <c r="L197" s="75"/>
      <c r="M197" s="390">
        <v>1466400.3</v>
      </c>
      <c r="N197" s="389">
        <v>58510.162175375008</v>
      </c>
      <c r="O197" s="127">
        <f t="shared" si="207"/>
        <v>43087.64842537501</v>
      </c>
      <c r="P197" s="75">
        <f t="shared" si="209"/>
        <v>0.73641307464208627</v>
      </c>
      <c r="Q197" s="75">
        <f t="shared" si="210"/>
        <v>0.26358692535791373</v>
      </c>
      <c r="R197" s="125">
        <f t="shared" si="208"/>
        <v>0</v>
      </c>
      <c r="S197" s="125">
        <f t="shared" si="211"/>
        <v>0.26358692535791373</v>
      </c>
      <c r="T197" s="125">
        <f t="shared" si="211"/>
        <v>-0.26358692535791373</v>
      </c>
      <c r="U197" s="240"/>
      <c r="V197" s="240"/>
      <c r="W197" s="240"/>
      <c r="X197" s="240"/>
      <c r="Y197" s="240"/>
      <c r="Z197" s="240"/>
      <c r="AA197" s="240"/>
      <c r="AB197" s="240"/>
      <c r="AC197" s="240"/>
      <c r="AD197" s="240"/>
      <c r="AE197" s="240"/>
      <c r="AF197" s="240"/>
      <c r="AG197" s="240"/>
      <c r="AH197" s="240"/>
      <c r="AI197" s="240"/>
      <c r="AJ197" s="240"/>
      <c r="AK197" s="240"/>
      <c r="AL197" s="240"/>
      <c r="AM197" s="240"/>
      <c r="AN197" s="240"/>
      <c r="AO197" s="240"/>
      <c r="AP197" s="240"/>
      <c r="AQ197" s="240"/>
      <c r="AR197" s="240"/>
      <c r="AS197" s="240"/>
      <c r="AT197" s="240"/>
      <c r="AU197" s="240"/>
      <c r="AV197" s="240"/>
      <c r="AW197" s="240"/>
      <c r="AX197" s="240"/>
      <c r="AY197" s="240"/>
      <c r="AZ197" s="240"/>
      <c r="BA197" s="240"/>
      <c r="BB197" s="240"/>
      <c r="BC197" s="240"/>
      <c r="BD197" s="240"/>
      <c r="BE197" s="240"/>
      <c r="BF197" s="240"/>
      <c r="BG197" s="240"/>
      <c r="BH197" s="240"/>
      <c r="BI197" s="240"/>
      <c r="BJ197" s="240"/>
    </row>
    <row r="198" spans="2:62">
      <c r="B198" s="72">
        <f t="shared" si="212"/>
        <v>0</v>
      </c>
      <c r="C198" s="72">
        <f t="shared" si="212"/>
        <v>13</v>
      </c>
      <c r="D198" s="72" t="str">
        <f t="shared" si="212"/>
        <v>Alcoa</v>
      </c>
      <c r="E198" s="73">
        <v>2013</v>
      </c>
      <c r="F198" s="390">
        <v>217</v>
      </c>
      <c r="G198" s="75">
        <f t="shared" ref="G198:G199" si="213">M198/(F198*8760)</f>
        <v>0.54508764177345703</v>
      </c>
      <c r="H198" s="127"/>
      <c r="I198" s="127"/>
      <c r="J198" s="389">
        <v>7953.8074999999999</v>
      </c>
      <c r="K198" s="75">
        <f t="shared" si="206"/>
        <v>6.7786360647279749E-3</v>
      </c>
      <c r="L198" s="72"/>
      <c r="M198" s="390">
        <v>1036168</v>
      </c>
      <c r="N198" s="389">
        <v>43224.160594375913</v>
      </c>
      <c r="O198" s="127">
        <f t="shared" si="207"/>
        <v>35270.353094375911</v>
      </c>
      <c r="P198" s="75">
        <f t="shared" si="209"/>
        <v>0.81598699915447503</v>
      </c>
      <c r="Q198" s="75">
        <f t="shared" si="210"/>
        <v>0.18401300084552497</v>
      </c>
      <c r="R198" s="125">
        <f t="shared" si="208"/>
        <v>0</v>
      </c>
      <c r="S198" s="125">
        <f t="shared" si="211"/>
        <v>0.18401300084552497</v>
      </c>
      <c r="T198" s="125">
        <f t="shared" si="211"/>
        <v>-0.18401300084552497</v>
      </c>
      <c r="U198" s="240"/>
      <c r="V198" s="240"/>
      <c r="W198" s="240"/>
      <c r="X198" s="240"/>
      <c r="Y198" s="240"/>
      <c r="Z198" s="240"/>
      <c r="AA198" s="240"/>
      <c r="AB198" s="240"/>
      <c r="AC198" s="240"/>
      <c r="AD198" s="240"/>
      <c r="AE198" s="240"/>
      <c r="AF198" s="240"/>
      <c r="AG198" s="240"/>
      <c r="AH198" s="240"/>
      <c r="AI198" s="240"/>
      <c r="AJ198" s="240"/>
      <c r="AK198" s="240"/>
      <c r="AL198" s="240"/>
      <c r="AM198" s="240"/>
      <c r="AN198" s="240"/>
      <c r="AO198" s="240"/>
      <c r="AP198" s="240"/>
      <c r="AQ198" s="240"/>
      <c r="AR198" s="240"/>
      <c r="AS198" s="240"/>
      <c r="AT198" s="240"/>
      <c r="AU198" s="240"/>
      <c r="AV198" s="240"/>
      <c r="AW198" s="240"/>
      <c r="AX198" s="240"/>
      <c r="AY198" s="240"/>
      <c r="AZ198" s="240"/>
      <c r="BA198" s="240"/>
      <c r="BB198" s="240"/>
      <c r="BC198" s="240"/>
      <c r="BD198" s="240"/>
      <c r="BE198" s="240"/>
      <c r="BF198" s="240"/>
      <c r="BG198" s="240"/>
      <c r="BH198" s="240"/>
      <c r="BI198" s="240"/>
      <c r="BJ198" s="240"/>
    </row>
    <row r="199" spans="2:62">
      <c r="B199" s="72">
        <f t="shared" si="212"/>
        <v>0</v>
      </c>
      <c r="C199" s="72">
        <f t="shared" si="212"/>
        <v>13</v>
      </c>
      <c r="D199" s="72" t="str">
        <f t="shared" si="212"/>
        <v>Alcoa</v>
      </c>
      <c r="E199" s="73">
        <v>2014</v>
      </c>
      <c r="F199" s="390">
        <v>217</v>
      </c>
      <c r="G199" s="75">
        <f t="shared" si="213"/>
        <v>0.41271857837257747</v>
      </c>
      <c r="H199" s="127"/>
      <c r="I199" s="127"/>
      <c r="J199" s="389">
        <v>9683.2775000000001</v>
      </c>
      <c r="K199" s="75">
        <f t="shared" si="206"/>
        <v>8.0444637454515217E-3</v>
      </c>
      <c r="L199" s="72"/>
      <c r="M199" s="390">
        <v>784545</v>
      </c>
      <c r="N199" s="389">
        <v>40838.950395520165</v>
      </c>
      <c r="O199" s="127">
        <f t="shared" si="207"/>
        <v>31155.672895520165</v>
      </c>
      <c r="P199" s="75">
        <f t="shared" si="209"/>
        <v>0.76289112706818707</v>
      </c>
      <c r="Q199" s="75">
        <f t="shared" si="210"/>
        <v>0.23710887293181293</v>
      </c>
      <c r="R199" s="125">
        <f t="shared" si="208"/>
        <v>0</v>
      </c>
      <c r="S199" s="125">
        <f t="shared" si="211"/>
        <v>0.23710887293181293</v>
      </c>
      <c r="T199" s="125">
        <f t="shared" si="211"/>
        <v>-0.23710887293181293</v>
      </c>
      <c r="U199" s="240"/>
      <c r="V199" s="240"/>
      <c r="W199" s="240"/>
      <c r="X199" s="240"/>
      <c r="Y199" s="240"/>
      <c r="Z199" s="240"/>
      <c r="AA199" s="240"/>
      <c r="AB199" s="240"/>
      <c r="AC199" s="240"/>
      <c r="AD199" s="240"/>
      <c r="AE199" s="240"/>
      <c r="AF199" s="240"/>
      <c r="AG199" s="240"/>
      <c r="AH199" s="240"/>
      <c r="AI199" s="240"/>
      <c r="AJ199" s="240"/>
      <c r="AK199" s="240"/>
      <c r="AL199" s="240"/>
      <c r="AM199" s="240"/>
      <c r="AN199" s="240"/>
      <c r="AO199" s="240"/>
      <c r="AP199" s="240"/>
      <c r="AQ199" s="240"/>
      <c r="AR199" s="240"/>
      <c r="AS199" s="240"/>
      <c r="AT199" s="240"/>
      <c r="AU199" s="240"/>
      <c r="AV199" s="240"/>
      <c r="AW199" s="240"/>
      <c r="AX199" s="240"/>
      <c r="AY199" s="240"/>
      <c r="AZ199" s="240"/>
      <c r="BA199" s="240"/>
      <c r="BB199" s="240"/>
      <c r="BC199" s="240"/>
      <c r="BD199" s="240"/>
      <c r="BE199" s="240"/>
      <c r="BF199" s="240"/>
      <c r="BG199" s="240"/>
      <c r="BH199" s="240"/>
      <c r="BI199" s="240"/>
      <c r="BJ199" s="240"/>
    </row>
    <row r="200" spans="2:62">
      <c r="B200" s="69">
        <f>'OPG hydro peers'!B19</f>
        <v>1</v>
      </c>
      <c r="C200" s="69">
        <f t="shared" si="183"/>
        <v>14</v>
      </c>
      <c r="D200" s="69" t="str">
        <f>'OPG hydro peers'!D19</f>
        <v>SEPA</v>
      </c>
      <c r="E200" s="70">
        <v>2002</v>
      </c>
      <c r="F200" s="391">
        <v>3412</v>
      </c>
      <c r="G200" s="76">
        <f>M200/(F200*8760)</f>
        <v>0.17938771700203954</v>
      </c>
      <c r="H200" s="138"/>
      <c r="I200" s="138"/>
      <c r="J200" s="388">
        <v>71519.58</v>
      </c>
      <c r="K200" s="76">
        <f>J200/$J$239</f>
        <v>0.10048195269723802</v>
      </c>
      <c r="L200" s="69"/>
      <c r="M200" s="391">
        <v>5361741</v>
      </c>
      <c r="N200" s="388">
        <v>165323.07</v>
      </c>
      <c r="O200" s="138">
        <f t="shared" ref="O200:O210" si="214">N200-J200</f>
        <v>93803.49</v>
      </c>
      <c r="P200" s="76">
        <f>O200/N200</f>
        <v>0.56739504051068013</v>
      </c>
      <c r="Q200" s="76">
        <f>1-P200</f>
        <v>0.43260495948931987</v>
      </c>
      <c r="R200" s="76">
        <f t="shared" ref="R200:R210" si="215">Q200*L200</f>
        <v>0</v>
      </c>
      <c r="S200" s="76">
        <f>Q200-R200</f>
        <v>0.43260495948931987</v>
      </c>
      <c r="T200" s="76">
        <f>R200-S200</f>
        <v>-0.43260495948931987</v>
      </c>
      <c r="U200" s="240"/>
      <c r="V200" s="240"/>
      <c r="W200" s="240"/>
      <c r="X200" s="240"/>
      <c r="Y200" s="240"/>
      <c r="Z200" s="240"/>
      <c r="AA200" s="240"/>
      <c r="AB200" s="240"/>
      <c r="AC200" s="240"/>
      <c r="AD200" s="240"/>
      <c r="AE200" s="240"/>
      <c r="AF200" s="240"/>
      <c r="AG200" s="240"/>
      <c r="AH200" s="240"/>
      <c r="AI200" s="240"/>
      <c r="AJ200" s="240"/>
      <c r="AK200" s="240"/>
      <c r="AL200" s="240"/>
      <c r="AM200" s="240"/>
      <c r="AN200" s="240"/>
      <c r="AO200" s="240"/>
      <c r="AP200" s="240"/>
      <c r="AQ200" s="240"/>
      <c r="AR200" s="240"/>
      <c r="AS200" s="240"/>
      <c r="AT200" s="240"/>
      <c r="AU200" s="240"/>
      <c r="AV200" s="240"/>
      <c r="AW200" s="240"/>
      <c r="AX200" s="240"/>
      <c r="AY200" s="240"/>
      <c r="AZ200" s="240"/>
      <c r="BA200" s="240"/>
      <c r="BB200" s="240"/>
      <c r="BC200" s="240"/>
      <c r="BD200" s="240"/>
      <c r="BE200" s="240"/>
      <c r="BF200" s="240"/>
      <c r="BG200" s="240"/>
      <c r="BH200" s="240"/>
    </row>
    <row r="201" spans="2:62">
      <c r="B201" s="69">
        <f t="shared" ref="B201:D208" si="216">B200</f>
        <v>1</v>
      </c>
      <c r="C201" s="69">
        <f t="shared" si="183"/>
        <v>14</v>
      </c>
      <c r="D201" s="69" t="str">
        <f t="shared" si="216"/>
        <v>SEPA</v>
      </c>
      <c r="E201" s="70">
        <v>2003</v>
      </c>
      <c r="F201" s="391">
        <v>3412</v>
      </c>
      <c r="G201" s="76">
        <f t="shared" ref="G201:G212" si="217">M201/(F201*8760)</f>
        <v>0.31167187257436818</v>
      </c>
      <c r="H201" s="138"/>
      <c r="I201" s="138"/>
      <c r="J201" s="388">
        <v>82754.399999999994</v>
      </c>
      <c r="K201" s="76">
        <f>J201/$J$240</f>
        <v>0.10385773605645553</v>
      </c>
      <c r="L201" s="69"/>
      <c r="M201" s="391">
        <v>9315598</v>
      </c>
      <c r="N201" s="388">
        <v>211791.24</v>
      </c>
      <c r="O201" s="138">
        <f t="shared" si="214"/>
        <v>129036.84</v>
      </c>
      <c r="P201" s="76">
        <f t="shared" ref="P201:P210" si="218">O201/N201</f>
        <v>0.60926429251748093</v>
      </c>
      <c r="Q201" s="76">
        <f t="shared" ref="Q201:Q210" si="219">1-P201</f>
        <v>0.39073570748251907</v>
      </c>
      <c r="R201" s="76">
        <f t="shared" si="215"/>
        <v>0</v>
      </c>
      <c r="S201" s="76">
        <f t="shared" ref="S201:S210" si="220">Q201-R201</f>
        <v>0.39073570748251907</v>
      </c>
      <c r="T201" s="76">
        <f t="shared" ref="T201:T210" si="221">R201-S201</f>
        <v>-0.39073570748251907</v>
      </c>
      <c r="U201" s="240"/>
      <c r="V201" s="240"/>
      <c r="W201" s="240"/>
      <c r="X201" s="240"/>
      <c r="Y201" s="240"/>
      <c r="Z201" s="240"/>
      <c r="AA201" s="240"/>
      <c r="AB201" s="240"/>
      <c r="AC201" s="240"/>
      <c r="AD201" s="240"/>
      <c r="AE201" s="240"/>
      <c r="AF201" s="240"/>
      <c r="AG201" s="240"/>
      <c r="AH201" s="240"/>
      <c r="AI201" s="240"/>
      <c r="AJ201" s="240"/>
      <c r="AK201" s="240"/>
      <c r="AL201" s="240"/>
      <c r="AM201" s="240"/>
      <c r="AN201" s="240"/>
      <c r="AO201" s="240"/>
      <c r="AP201" s="240"/>
      <c r="AQ201" s="240"/>
      <c r="AR201" s="240"/>
      <c r="AS201" s="240"/>
      <c r="AT201" s="240"/>
      <c r="AU201" s="240"/>
      <c r="AV201" s="240"/>
      <c r="AW201" s="240"/>
      <c r="AX201" s="240"/>
      <c r="AY201" s="240"/>
      <c r="AZ201" s="240"/>
      <c r="BA201" s="240"/>
      <c r="BB201" s="240"/>
      <c r="BC201" s="240"/>
      <c r="BD201" s="240"/>
      <c r="BE201" s="240"/>
      <c r="BF201" s="240"/>
      <c r="BG201" s="240"/>
      <c r="BH201" s="240"/>
    </row>
    <row r="202" spans="2:62">
      <c r="B202" s="69">
        <f t="shared" si="216"/>
        <v>1</v>
      </c>
      <c r="C202" s="69">
        <f t="shared" si="183"/>
        <v>14</v>
      </c>
      <c r="D202" s="69" t="str">
        <f t="shared" si="216"/>
        <v>SEPA</v>
      </c>
      <c r="E202" s="70">
        <v>2004</v>
      </c>
      <c r="F202" s="391">
        <v>3412</v>
      </c>
      <c r="G202" s="76">
        <f t="shared" si="217"/>
        <v>0.27881433110108295</v>
      </c>
      <c r="H202" s="138"/>
      <c r="I202" s="138"/>
      <c r="J202" s="388">
        <v>84330.03</v>
      </c>
      <c r="K202" s="76">
        <f>J202/$J$241</f>
        <v>0.10267620956019119</v>
      </c>
      <c r="L202" s="69"/>
      <c r="M202" s="391">
        <v>8333515</v>
      </c>
      <c r="N202" s="388">
        <v>239578.16999999998</v>
      </c>
      <c r="O202" s="138">
        <f t="shared" si="214"/>
        <v>155248.13999999998</v>
      </c>
      <c r="P202" s="76">
        <f t="shared" si="218"/>
        <v>0.64800620190061553</v>
      </c>
      <c r="Q202" s="76">
        <f t="shared" si="219"/>
        <v>0.35199379809938447</v>
      </c>
      <c r="R202" s="76">
        <f t="shared" si="215"/>
        <v>0</v>
      </c>
      <c r="S202" s="76">
        <f t="shared" si="220"/>
        <v>0.35199379809938447</v>
      </c>
      <c r="T202" s="76">
        <f t="shared" si="221"/>
        <v>-0.35199379809938447</v>
      </c>
      <c r="U202" s="240"/>
      <c r="V202" s="240"/>
      <c r="W202" s="240"/>
      <c r="X202" s="240"/>
      <c r="Y202" s="240"/>
      <c r="Z202" s="240"/>
      <c r="AA202" s="240"/>
      <c r="AB202" s="240"/>
      <c r="AC202" s="240"/>
      <c r="AD202" s="240"/>
      <c r="AE202" s="240"/>
      <c r="AF202" s="240"/>
      <c r="AG202" s="240"/>
      <c r="AH202" s="240"/>
      <c r="AI202" s="240"/>
      <c r="AJ202" s="240"/>
      <c r="AK202" s="240"/>
      <c r="AL202" s="240"/>
      <c r="AM202" s="240"/>
      <c r="AN202" s="240"/>
      <c r="AO202" s="240"/>
      <c r="AP202" s="240"/>
      <c r="AQ202" s="240"/>
      <c r="AR202" s="240"/>
      <c r="AS202" s="240"/>
      <c r="AT202" s="240"/>
      <c r="AU202" s="240"/>
      <c r="AV202" s="240"/>
      <c r="AW202" s="240"/>
      <c r="AX202" s="240"/>
      <c r="AY202" s="240"/>
      <c r="AZ202" s="240"/>
      <c r="BA202" s="240"/>
      <c r="BB202" s="240"/>
      <c r="BC202" s="240"/>
      <c r="BD202" s="240"/>
      <c r="BE202" s="240"/>
      <c r="BF202" s="240"/>
      <c r="BG202" s="240"/>
      <c r="BH202" s="240"/>
    </row>
    <row r="203" spans="2:62">
      <c r="B203" s="69">
        <f t="shared" si="216"/>
        <v>1</v>
      </c>
      <c r="C203" s="69">
        <f t="shared" si="183"/>
        <v>14</v>
      </c>
      <c r="D203" s="69" t="str">
        <f t="shared" si="216"/>
        <v>SEPA</v>
      </c>
      <c r="E203" s="70">
        <v>2005</v>
      </c>
      <c r="F203" s="391">
        <v>3392</v>
      </c>
      <c r="G203" s="76">
        <f t="shared" si="217"/>
        <v>0.3117265241341432</v>
      </c>
      <c r="H203" s="138"/>
      <c r="I203" s="138"/>
      <c r="J203" s="388">
        <v>83637.539999999994</v>
      </c>
      <c r="K203" s="76">
        <f>J203/$J$242</f>
        <v>9.6429230008603289E-2</v>
      </c>
      <c r="L203" s="69"/>
      <c r="M203" s="391">
        <v>9262617</v>
      </c>
      <c r="N203" s="388">
        <v>246161.13</v>
      </c>
      <c r="O203" s="138">
        <f t="shared" si="214"/>
        <v>162523.59000000003</v>
      </c>
      <c r="P203" s="76">
        <f t="shared" si="218"/>
        <v>0.66023254768126882</v>
      </c>
      <c r="Q203" s="76">
        <f t="shared" si="219"/>
        <v>0.33976745231873118</v>
      </c>
      <c r="R203" s="76">
        <f t="shared" si="215"/>
        <v>0</v>
      </c>
      <c r="S203" s="76">
        <f t="shared" si="220"/>
        <v>0.33976745231873118</v>
      </c>
      <c r="T203" s="76">
        <f t="shared" si="221"/>
        <v>-0.33976745231873118</v>
      </c>
      <c r="U203" s="240"/>
      <c r="V203" s="240"/>
      <c r="W203" s="240"/>
      <c r="X203" s="240"/>
      <c r="Y203" s="240"/>
      <c r="Z203" s="240"/>
      <c r="AA203" s="240"/>
      <c r="AB203" s="240"/>
      <c r="AC203" s="240"/>
      <c r="AD203" s="240"/>
      <c r="AE203" s="240"/>
      <c r="AF203" s="240"/>
      <c r="AG203" s="240"/>
      <c r="AH203" s="240"/>
      <c r="AI203" s="240"/>
      <c r="AJ203" s="240"/>
      <c r="AK203" s="240"/>
      <c r="AL203" s="240"/>
      <c r="AM203" s="240"/>
      <c r="AN203" s="240"/>
      <c r="AO203" s="240"/>
      <c r="AP203" s="240"/>
      <c r="AQ203" s="240"/>
      <c r="AR203" s="240"/>
      <c r="AS203" s="240"/>
      <c r="AT203" s="240"/>
      <c r="AU203" s="240"/>
      <c r="AV203" s="240"/>
      <c r="AW203" s="240"/>
      <c r="AX203" s="240"/>
      <c r="AY203" s="240"/>
      <c r="AZ203" s="240"/>
      <c r="BA203" s="240"/>
      <c r="BB203" s="240"/>
      <c r="BC203" s="240"/>
      <c r="BD203" s="240"/>
      <c r="BE203" s="240"/>
      <c r="BF203" s="240"/>
      <c r="BG203" s="240"/>
      <c r="BH203" s="240"/>
    </row>
    <row r="204" spans="2:62">
      <c r="B204" s="69">
        <f t="shared" si="216"/>
        <v>1</v>
      </c>
      <c r="C204" s="69">
        <f t="shared" si="183"/>
        <v>14</v>
      </c>
      <c r="D204" s="69" t="str">
        <f t="shared" si="216"/>
        <v>SEPA</v>
      </c>
      <c r="E204" s="70">
        <v>2006</v>
      </c>
      <c r="F204" s="391">
        <v>3392</v>
      </c>
      <c r="G204" s="76">
        <f t="shared" si="217"/>
        <v>0.190244841474972</v>
      </c>
      <c r="H204" s="138"/>
      <c r="I204" s="138"/>
      <c r="J204" s="388">
        <v>108053.04</v>
      </c>
      <c r="K204" s="76">
        <f>J204/$J$243</f>
        <v>0.11830019337289531</v>
      </c>
      <c r="L204" s="69"/>
      <c r="M204" s="391">
        <v>5652920</v>
      </c>
      <c r="N204" s="388">
        <v>219526.71</v>
      </c>
      <c r="O204" s="138">
        <f t="shared" si="214"/>
        <v>111473.67</v>
      </c>
      <c r="P204" s="76">
        <f t="shared" si="218"/>
        <v>0.50779091983841051</v>
      </c>
      <c r="Q204" s="76">
        <f t="shared" si="219"/>
        <v>0.49220908016158949</v>
      </c>
      <c r="R204" s="76">
        <f t="shared" si="215"/>
        <v>0</v>
      </c>
      <c r="S204" s="76">
        <f t="shared" si="220"/>
        <v>0.49220908016158949</v>
      </c>
      <c r="T204" s="76">
        <f t="shared" si="221"/>
        <v>-0.49220908016158949</v>
      </c>
      <c r="U204" s="240"/>
      <c r="V204" s="240"/>
      <c r="W204" s="240"/>
      <c r="X204" s="240"/>
      <c r="Y204" s="240"/>
      <c r="Z204" s="240"/>
      <c r="AA204" s="240"/>
      <c r="AB204" s="240"/>
      <c r="AC204" s="240"/>
      <c r="AD204" s="240"/>
      <c r="AE204" s="240"/>
      <c r="AF204" s="240"/>
      <c r="AG204" s="240"/>
      <c r="AH204" s="240"/>
      <c r="AI204" s="240"/>
      <c r="AJ204" s="240"/>
      <c r="AK204" s="240"/>
      <c r="AL204" s="240"/>
      <c r="AM204" s="240"/>
      <c r="AN204" s="240"/>
      <c r="AO204" s="240"/>
      <c r="AP204" s="240"/>
      <c r="AQ204" s="240"/>
      <c r="AR204" s="240"/>
      <c r="AS204" s="240"/>
      <c r="AT204" s="240"/>
      <c r="AU204" s="240"/>
      <c r="AV204" s="240"/>
      <c r="AW204" s="240"/>
      <c r="AX204" s="240"/>
      <c r="AY204" s="240"/>
      <c r="AZ204" s="240"/>
      <c r="BA204" s="240"/>
      <c r="BB204" s="240"/>
      <c r="BC204" s="240"/>
      <c r="BD204" s="240"/>
      <c r="BE204" s="240"/>
      <c r="BF204" s="240"/>
      <c r="BG204" s="240"/>
      <c r="BH204" s="240"/>
    </row>
    <row r="205" spans="2:62">
      <c r="B205" s="69">
        <f t="shared" si="216"/>
        <v>1</v>
      </c>
      <c r="C205" s="69">
        <f t="shared" si="183"/>
        <v>14</v>
      </c>
      <c r="D205" s="69" t="str">
        <f t="shared" si="216"/>
        <v>SEPA</v>
      </c>
      <c r="E205" s="70">
        <v>2007</v>
      </c>
      <c r="F205" s="391">
        <v>3392</v>
      </c>
      <c r="G205" s="76">
        <f t="shared" si="217"/>
        <v>0.17611237426768331</v>
      </c>
      <c r="H205" s="138"/>
      <c r="I205" s="138"/>
      <c r="J205" s="388">
        <v>96188.459999999992</v>
      </c>
      <c r="K205" s="76">
        <f>J205/$J$244</f>
        <v>9.6697455629629003E-2</v>
      </c>
      <c r="L205" s="69"/>
      <c r="M205" s="391">
        <v>5232989</v>
      </c>
      <c r="N205" s="388">
        <v>216467.69999999998</v>
      </c>
      <c r="O205" s="138">
        <f t="shared" si="214"/>
        <v>120279.23999999999</v>
      </c>
      <c r="P205" s="76">
        <f t="shared" si="218"/>
        <v>0.55564520711404053</v>
      </c>
      <c r="Q205" s="76">
        <f t="shared" si="219"/>
        <v>0.44435479288595947</v>
      </c>
      <c r="R205" s="76">
        <f t="shared" si="215"/>
        <v>0</v>
      </c>
      <c r="S205" s="76">
        <f t="shared" si="220"/>
        <v>0.44435479288595947</v>
      </c>
      <c r="T205" s="76">
        <f t="shared" si="221"/>
        <v>-0.44435479288595947</v>
      </c>
      <c r="U205" s="240"/>
      <c r="V205" s="240"/>
      <c r="W205" s="240"/>
      <c r="X205" s="240"/>
      <c r="Y205" s="240"/>
      <c r="Z205" s="240"/>
      <c r="AA205" s="240"/>
      <c r="AB205" s="240"/>
      <c r="AC205" s="240"/>
      <c r="AD205" s="240"/>
      <c r="AE205" s="240"/>
      <c r="AF205" s="240"/>
      <c r="AG205" s="240"/>
      <c r="AH205" s="240"/>
      <c r="AI205" s="240"/>
      <c r="AJ205" s="240"/>
      <c r="AK205" s="240"/>
      <c r="AL205" s="240"/>
      <c r="AM205" s="240"/>
      <c r="AN205" s="240"/>
      <c r="AO205" s="240"/>
      <c r="AP205" s="240"/>
      <c r="AQ205" s="240"/>
      <c r="AR205" s="240"/>
      <c r="AS205" s="240"/>
      <c r="AT205" s="240"/>
      <c r="AU205" s="240"/>
      <c r="AV205" s="240"/>
      <c r="AW205" s="240"/>
      <c r="AX205" s="240"/>
      <c r="AY205" s="240"/>
      <c r="AZ205" s="240"/>
      <c r="BA205" s="240"/>
      <c r="BB205" s="240"/>
      <c r="BC205" s="240"/>
      <c r="BD205" s="240"/>
      <c r="BE205" s="240"/>
      <c r="BF205" s="240"/>
      <c r="BG205" s="240"/>
      <c r="BH205" s="240"/>
    </row>
    <row r="206" spans="2:62">
      <c r="B206" s="69">
        <f t="shared" si="216"/>
        <v>1</v>
      </c>
      <c r="C206" s="69">
        <f t="shared" si="183"/>
        <v>14</v>
      </c>
      <c r="D206" s="69" t="str">
        <f t="shared" si="216"/>
        <v>SEPA</v>
      </c>
      <c r="E206" s="70">
        <v>2008</v>
      </c>
      <c r="F206" s="391">
        <v>3392</v>
      </c>
      <c r="G206" s="76">
        <f t="shared" si="217"/>
        <v>0.14885000026923409</v>
      </c>
      <c r="H206" s="138"/>
      <c r="I206" s="138"/>
      <c r="J206" s="388">
        <v>99695.19</v>
      </c>
      <c r="K206" s="76">
        <f>J206/$J$245</f>
        <v>9.2011920942228972E-2</v>
      </c>
      <c r="L206" s="69"/>
      <c r="M206" s="391">
        <v>4422917</v>
      </c>
      <c r="N206" s="388">
        <v>230546.28</v>
      </c>
      <c r="O206" s="138">
        <f t="shared" si="214"/>
        <v>130851.09</v>
      </c>
      <c r="P206" s="76">
        <f t="shared" si="218"/>
        <v>0.56756973046799974</v>
      </c>
      <c r="Q206" s="76">
        <f t="shared" si="219"/>
        <v>0.43243026953200026</v>
      </c>
      <c r="R206" s="76">
        <f t="shared" si="215"/>
        <v>0</v>
      </c>
      <c r="S206" s="76">
        <f t="shared" si="220"/>
        <v>0.43243026953200026</v>
      </c>
      <c r="T206" s="76">
        <f t="shared" si="221"/>
        <v>-0.43243026953200026</v>
      </c>
      <c r="U206" s="240"/>
      <c r="V206" s="240"/>
      <c r="W206" s="240"/>
      <c r="X206" s="240"/>
      <c r="Y206" s="240"/>
      <c r="Z206" s="240"/>
      <c r="AA206" s="240"/>
      <c r="AB206" s="240"/>
      <c r="AC206" s="240"/>
      <c r="AD206" s="240"/>
      <c r="AE206" s="240"/>
      <c r="AF206" s="240"/>
      <c r="AG206" s="240"/>
      <c r="AH206" s="240"/>
      <c r="AI206" s="240"/>
      <c r="AJ206" s="240"/>
      <c r="AK206" s="240"/>
      <c r="AL206" s="240"/>
      <c r="AM206" s="240"/>
      <c r="AN206" s="240"/>
      <c r="AO206" s="240"/>
      <c r="AP206" s="240"/>
      <c r="AQ206" s="240"/>
      <c r="AR206" s="240"/>
      <c r="AS206" s="240"/>
      <c r="AT206" s="240"/>
      <c r="AU206" s="240"/>
      <c r="AV206" s="240"/>
      <c r="AW206" s="240"/>
      <c r="AX206" s="240"/>
      <c r="AY206" s="240"/>
      <c r="AZ206" s="240"/>
      <c r="BA206" s="240"/>
      <c r="BB206" s="240"/>
      <c r="BC206" s="240"/>
      <c r="BD206" s="240"/>
      <c r="BE206" s="240"/>
      <c r="BF206" s="240"/>
      <c r="BG206" s="240"/>
      <c r="BH206" s="240"/>
    </row>
    <row r="207" spans="2:62">
      <c r="B207" s="69">
        <f t="shared" si="216"/>
        <v>1</v>
      </c>
      <c r="C207" s="69">
        <f t="shared" si="183"/>
        <v>14</v>
      </c>
      <c r="D207" s="69" t="str">
        <f t="shared" si="216"/>
        <v>SEPA</v>
      </c>
      <c r="E207" s="70">
        <v>2009</v>
      </c>
      <c r="F207" s="391">
        <v>3392</v>
      </c>
      <c r="G207" s="76">
        <f t="shared" si="217"/>
        <v>0.20646986328293271</v>
      </c>
      <c r="H207" s="138"/>
      <c r="I207" s="138"/>
      <c r="J207" s="388">
        <v>111926.31</v>
      </c>
      <c r="K207" s="76">
        <f>J207/$J$246</f>
        <v>0.10427588840690923</v>
      </c>
      <c r="L207" s="69"/>
      <c r="M207" s="391">
        <v>6135029</v>
      </c>
      <c r="N207" s="388">
        <v>236135.4</v>
      </c>
      <c r="O207" s="138">
        <f t="shared" si="214"/>
        <v>124209.09</v>
      </c>
      <c r="P207" s="76">
        <f t="shared" si="218"/>
        <v>0.52600791749140541</v>
      </c>
      <c r="Q207" s="76">
        <f t="shared" si="219"/>
        <v>0.47399208250859459</v>
      </c>
      <c r="R207" s="76">
        <f t="shared" si="215"/>
        <v>0</v>
      </c>
      <c r="S207" s="76">
        <f t="shared" si="220"/>
        <v>0.47399208250859459</v>
      </c>
      <c r="T207" s="76">
        <f t="shared" si="221"/>
        <v>-0.47399208250859459</v>
      </c>
      <c r="U207" s="240"/>
      <c r="V207" s="240"/>
      <c r="W207" s="240"/>
      <c r="X207" s="240"/>
      <c r="Y207" s="240"/>
      <c r="Z207" s="240"/>
      <c r="AA207" s="240"/>
      <c r="AB207" s="240"/>
      <c r="AC207" s="240"/>
      <c r="AD207" s="240"/>
      <c r="AE207" s="240"/>
      <c r="AF207" s="240"/>
      <c r="AG207" s="240"/>
      <c r="AH207" s="240"/>
      <c r="AI207" s="240"/>
      <c r="AJ207" s="240"/>
      <c r="AK207" s="240"/>
      <c r="AL207" s="240"/>
      <c r="AM207" s="240"/>
      <c r="AN207" s="240"/>
      <c r="AO207" s="240"/>
      <c r="AP207" s="240"/>
      <c r="AQ207" s="240"/>
      <c r="AR207" s="240"/>
      <c r="AS207" s="240"/>
      <c r="AT207" s="240"/>
      <c r="AU207" s="240"/>
      <c r="AV207" s="240"/>
      <c r="AW207" s="240"/>
      <c r="AX207" s="240"/>
      <c r="AY207" s="240"/>
      <c r="AZ207" s="240"/>
      <c r="BA207" s="240"/>
      <c r="BB207" s="240"/>
      <c r="BC207" s="240"/>
      <c r="BD207" s="240"/>
      <c r="BE207" s="240"/>
      <c r="BF207" s="240"/>
      <c r="BG207" s="240"/>
      <c r="BH207" s="240"/>
    </row>
    <row r="208" spans="2:62">
      <c r="B208" s="69">
        <f t="shared" si="216"/>
        <v>1</v>
      </c>
      <c r="C208" s="69">
        <f t="shared" si="183"/>
        <v>14</v>
      </c>
      <c r="D208" s="69" t="str">
        <f t="shared" si="216"/>
        <v>SEPA</v>
      </c>
      <c r="E208" s="70">
        <v>2010</v>
      </c>
      <c r="F208" s="391">
        <v>3392</v>
      </c>
      <c r="G208" s="76">
        <f t="shared" si="217"/>
        <v>0.27678966625743084</v>
      </c>
      <c r="H208" s="138"/>
      <c r="I208" s="138"/>
      <c r="J208" s="388">
        <v>150046.47</v>
      </c>
      <c r="K208" s="76">
        <f>J208/$J$247</f>
        <v>0.13016134034120366</v>
      </c>
      <c r="L208" s="69"/>
      <c r="M208" s="391">
        <v>8224506</v>
      </c>
      <c r="N208" s="388">
        <v>255416.88</v>
      </c>
      <c r="O208" s="138">
        <f t="shared" si="214"/>
        <v>105370.41</v>
      </c>
      <c r="P208" s="76">
        <f t="shared" si="218"/>
        <v>0.41254285934430018</v>
      </c>
      <c r="Q208" s="76">
        <f t="shared" si="219"/>
        <v>0.58745714065569987</v>
      </c>
      <c r="R208" s="76">
        <f t="shared" si="215"/>
        <v>0</v>
      </c>
      <c r="S208" s="76">
        <f t="shared" si="220"/>
        <v>0.58745714065569987</v>
      </c>
      <c r="T208" s="76">
        <f t="shared" si="221"/>
        <v>-0.58745714065569987</v>
      </c>
      <c r="U208" s="240"/>
      <c r="V208" s="240"/>
      <c r="W208" s="240"/>
      <c r="X208" s="240"/>
      <c r="Y208" s="240"/>
      <c r="Z208" s="240"/>
      <c r="AA208" s="240"/>
      <c r="AB208" s="240"/>
      <c r="AC208" s="240"/>
      <c r="AD208" s="240"/>
      <c r="AE208" s="240"/>
      <c r="AF208" s="240"/>
      <c r="AG208" s="240"/>
      <c r="AH208" s="240"/>
      <c r="AI208" s="240"/>
      <c r="AJ208" s="240"/>
      <c r="AK208" s="240"/>
      <c r="AL208" s="240"/>
      <c r="AM208" s="240"/>
      <c r="AN208" s="240"/>
      <c r="AO208" s="240"/>
      <c r="AP208" s="240"/>
      <c r="AQ208" s="240"/>
      <c r="AR208" s="240"/>
      <c r="AS208" s="240"/>
      <c r="AT208" s="240"/>
      <c r="AU208" s="240"/>
      <c r="AV208" s="240"/>
      <c r="AW208" s="240"/>
      <c r="AX208" s="240"/>
      <c r="AY208" s="240"/>
      <c r="AZ208" s="240"/>
      <c r="BA208" s="240"/>
      <c r="BB208" s="240"/>
      <c r="BC208" s="240"/>
      <c r="BD208" s="240"/>
      <c r="BE208" s="240"/>
      <c r="BF208" s="240"/>
      <c r="BG208" s="240"/>
      <c r="BH208" s="240"/>
    </row>
    <row r="209" spans="2:60">
      <c r="B209" s="69">
        <f t="shared" ref="B209:D212" si="222">B208</f>
        <v>1</v>
      </c>
      <c r="C209" s="69">
        <f t="shared" si="183"/>
        <v>14</v>
      </c>
      <c r="D209" s="69" t="str">
        <f t="shared" si="222"/>
        <v>SEPA</v>
      </c>
      <c r="E209" s="70">
        <v>2011</v>
      </c>
      <c r="F209" s="391">
        <v>3392</v>
      </c>
      <c r="G209" s="76">
        <f t="shared" si="217"/>
        <v>0.21911272561816145</v>
      </c>
      <c r="H209" s="138"/>
      <c r="I209" s="138"/>
      <c r="J209" s="388">
        <v>128499.33</v>
      </c>
      <c r="K209" s="76">
        <f>J209/$J$248</f>
        <v>0.11169429733644876</v>
      </c>
      <c r="L209" s="69"/>
      <c r="M209" s="391">
        <v>6510698</v>
      </c>
      <c r="N209" s="388">
        <v>274686.06</v>
      </c>
      <c r="O209" s="138">
        <f t="shared" si="214"/>
        <v>146186.72999999998</v>
      </c>
      <c r="P209" s="76">
        <f t="shared" si="218"/>
        <v>0.53219566366054394</v>
      </c>
      <c r="Q209" s="76">
        <f t="shared" si="219"/>
        <v>0.46780433633945606</v>
      </c>
      <c r="R209" s="76">
        <f t="shared" si="215"/>
        <v>0</v>
      </c>
      <c r="S209" s="76">
        <f t="shared" si="220"/>
        <v>0.46780433633945606</v>
      </c>
      <c r="T209" s="76">
        <f t="shared" si="221"/>
        <v>-0.46780433633945606</v>
      </c>
      <c r="U209" s="240"/>
      <c r="V209" s="240"/>
      <c r="W209" s="240"/>
      <c r="X209" s="240"/>
      <c r="Y209" s="240"/>
      <c r="Z209" s="240"/>
      <c r="AA209" s="240"/>
      <c r="AB209" s="240"/>
      <c r="AC209" s="240"/>
      <c r="AD209" s="240"/>
      <c r="AE209" s="240"/>
      <c r="AF209" s="240"/>
      <c r="AG209" s="240"/>
      <c r="AH209" s="240"/>
      <c r="AI209" s="240"/>
      <c r="AJ209" s="240"/>
      <c r="AK209" s="240"/>
      <c r="AL209" s="240"/>
      <c r="AM209" s="240"/>
      <c r="AN209" s="240"/>
      <c r="AO209" s="240"/>
      <c r="AP209" s="240"/>
      <c r="AQ209" s="240"/>
      <c r="AR209" s="240"/>
      <c r="AS209" s="240"/>
      <c r="AT209" s="240"/>
      <c r="AU209" s="240"/>
      <c r="AV209" s="240"/>
      <c r="AW209" s="240"/>
      <c r="AX209" s="240"/>
      <c r="AY209" s="240"/>
      <c r="AZ209" s="240"/>
      <c r="BA209" s="240"/>
      <c r="BB209" s="240"/>
      <c r="BC209" s="240"/>
      <c r="BD209" s="240"/>
      <c r="BE209" s="240"/>
      <c r="BF209" s="240"/>
      <c r="BG209" s="240"/>
      <c r="BH209" s="240"/>
    </row>
    <row r="210" spans="2:60">
      <c r="B210" s="69">
        <f t="shared" si="222"/>
        <v>1</v>
      </c>
      <c r="C210" s="69">
        <f t="shared" si="183"/>
        <v>14</v>
      </c>
      <c r="D210" s="69" t="str">
        <f t="shared" si="222"/>
        <v>SEPA</v>
      </c>
      <c r="E210" s="70">
        <v>2012</v>
      </c>
      <c r="F210" s="391">
        <v>3392</v>
      </c>
      <c r="G210" s="76">
        <f t="shared" si="217"/>
        <v>0.18907545689023864</v>
      </c>
      <c r="H210" s="138"/>
      <c r="I210" s="138"/>
      <c r="J210" s="388">
        <v>122088.56999999999</v>
      </c>
      <c r="K210" s="76">
        <f>J210/$J$249</f>
        <v>0.10287064365981335</v>
      </c>
      <c r="L210" s="69"/>
      <c r="M210" s="391">
        <v>5618173</v>
      </c>
      <c r="N210" s="388">
        <v>267661.52999999997</v>
      </c>
      <c r="O210" s="138">
        <f t="shared" si="214"/>
        <v>145572.95999999996</v>
      </c>
      <c r="P210" s="76">
        <f t="shared" si="218"/>
        <v>0.54386956541718934</v>
      </c>
      <c r="Q210" s="76">
        <f t="shared" si="219"/>
        <v>0.45613043458281066</v>
      </c>
      <c r="R210" s="76">
        <f t="shared" si="215"/>
        <v>0</v>
      </c>
      <c r="S210" s="76">
        <f t="shared" si="220"/>
        <v>0.45613043458281066</v>
      </c>
      <c r="T210" s="76">
        <f t="shared" si="221"/>
        <v>-0.45613043458281066</v>
      </c>
      <c r="U210" s="240"/>
      <c r="V210" s="240"/>
      <c r="W210" s="240"/>
      <c r="X210" s="240"/>
      <c r="Y210" s="240"/>
      <c r="Z210" s="240"/>
      <c r="AA210" s="240"/>
      <c r="AB210" s="240"/>
      <c r="AC210" s="240"/>
      <c r="AD210" s="240"/>
      <c r="AE210" s="240"/>
      <c r="AF210" s="240"/>
      <c r="AG210" s="240"/>
      <c r="AH210" s="240"/>
      <c r="AI210" s="240"/>
      <c r="AJ210" s="240"/>
      <c r="AK210" s="240"/>
      <c r="AL210" s="240"/>
      <c r="AM210" s="240"/>
      <c r="AN210" s="240"/>
      <c r="AO210" s="240"/>
      <c r="AP210" s="240"/>
      <c r="AQ210" s="240"/>
      <c r="AR210" s="240"/>
      <c r="AS210" s="240"/>
      <c r="AT210" s="240"/>
      <c r="AU210" s="240"/>
      <c r="AV210" s="240"/>
      <c r="AW210" s="240"/>
      <c r="AX210" s="240"/>
      <c r="AY210" s="240"/>
      <c r="AZ210" s="240"/>
      <c r="BA210" s="240"/>
      <c r="BB210" s="240"/>
      <c r="BC210" s="240"/>
      <c r="BD210" s="240"/>
      <c r="BE210" s="240"/>
      <c r="BF210" s="240"/>
      <c r="BG210" s="240"/>
      <c r="BH210" s="240"/>
    </row>
    <row r="211" spans="2:60">
      <c r="B211" s="69">
        <f t="shared" si="222"/>
        <v>1</v>
      </c>
      <c r="C211" s="69">
        <f t="shared" si="183"/>
        <v>14</v>
      </c>
      <c r="D211" s="69" t="str">
        <f t="shared" si="222"/>
        <v>SEPA</v>
      </c>
      <c r="E211" s="70">
        <v>2013</v>
      </c>
      <c r="F211" s="391">
        <v>3392</v>
      </c>
      <c r="G211" s="76">
        <f t="shared" si="217"/>
        <v>0.25776417248212286</v>
      </c>
      <c r="H211" s="138"/>
      <c r="I211" s="138"/>
      <c r="J211" s="388">
        <v>114310.05</v>
      </c>
      <c r="K211" s="76">
        <f>J211/$J$250</f>
        <v>9.7420792179199467E-2</v>
      </c>
      <c r="L211" s="69"/>
      <c r="M211" s="391">
        <v>7659184</v>
      </c>
      <c r="N211" s="388">
        <v>317460.52429290005</v>
      </c>
      <c r="O211" s="138">
        <f>N211-J212</f>
        <v>193084.15429290006</v>
      </c>
      <c r="P211" s="76">
        <f t="shared" ref="P211:P212" si="223">O211/N211</f>
        <v>0.60821468975699777</v>
      </c>
      <c r="Q211" s="76">
        <f t="shared" ref="Q211:Q212" si="224">1-P211</f>
        <v>0.39178531024300223</v>
      </c>
      <c r="R211" s="76">
        <f t="shared" ref="R211:R212" si="225">Q211*L211</f>
        <v>0</v>
      </c>
      <c r="S211" s="76">
        <f t="shared" ref="S211:S212" si="226">Q211-R211</f>
        <v>0.39178531024300223</v>
      </c>
      <c r="T211" s="76">
        <f t="shared" ref="T211:T212" si="227">R211-S211</f>
        <v>-0.39178531024300223</v>
      </c>
      <c r="U211" s="240"/>
      <c r="V211" s="240"/>
      <c r="W211" s="240"/>
      <c r="X211" s="240"/>
      <c r="Y211" s="240"/>
      <c r="Z211" s="240"/>
      <c r="AA211" s="240"/>
      <c r="AB211" s="240"/>
      <c r="AC211" s="240"/>
      <c r="AD211" s="240"/>
      <c r="AE211" s="240"/>
      <c r="AF211" s="240"/>
      <c r="AG211" s="240"/>
      <c r="AH211" s="240"/>
      <c r="AI211" s="240"/>
      <c r="AJ211" s="240"/>
      <c r="AK211" s="240"/>
      <c r="AL211" s="240"/>
      <c r="AM211" s="240"/>
      <c r="AN211" s="240"/>
      <c r="AO211" s="240"/>
      <c r="AP211" s="240"/>
      <c r="AQ211" s="240"/>
      <c r="AR211" s="240"/>
      <c r="AS211" s="240"/>
      <c r="AT211" s="240"/>
      <c r="AU211" s="240"/>
      <c r="AV211" s="240"/>
      <c r="AW211" s="240"/>
      <c r="AX211" s="240"/>
      <c r="AY211" s="240"/>
      <c r="AZ211" s="240"/>
      <c r="BA211" s="240"/>
      <c r="BB211" s="240"/>
      <c r="BC211" s="240"/>
      <c r="BD211" s="240"/>
      <c r="BE211" s="240"/>
      <c r="BF211" s="240"/>
      <c r="BG211" s="240"/>
      <c r="BH211" s="240"/>
    </row>
    <row r="212" spans="2:60">
      <c r="B212" s="69">
        <f t="shared" si="222"/>
        <v>1</v>
      </c>
      <c r="C212" s="69">
        <f t="shared" si="183"/>
        <v>14</v>
      </c>
      <c r="D212" s="69" t="str">
        <f t="shared" si="222"/>
        <v>SEPA</v>
      </c>
      <c r="E212" s="70">
        <v>2014</v>
      </c>
      <c r="F212" s="391">
        <v>3392</v>
      </c>
      <c r="G212" s="76">
        <f t="shared" si="217"/>
        <v>0.24900201656328078</v>
      </c>
      <c r="H212" s="138"/>
      <c r="I212" s="138"/>
      <c r="J212" s="388">
        <v>124376.37</v>
      </c>
      <c r="K212" s="76">
        <f>J212/$J$251</f>
        <v>0.10332670929402409</v>
      </c>
      <c r="L212" s="69"/>
      <c r="M212" s="391">
        <v>7398826</v>
      </c>
      <c r="N212" s="388">
        <v>312081.49910792091</v>
      </c>
      <c r="O212" s="138">
        <f>N212-J211</f>
        <v>197771.44910792093</v>
      </c>
      <c r="P212" s="76">
        <f t="shared" si="223"/>
        <v>0.63371731318020097</v>
      </c>
      <c r="Q212" s="76">
        <f t="shared" si="224"/>
        <v>0.36628268681979903</v>
      </c>
      <c r="R212" s="76">
        <f t="shared" si="225"/>
        <v>0</v>
      </c>
      <c r="S212" s="76">
        <f t="shared" si="226"/>
        <v>0.36628268681979903</v>
      </c>
      <c r="T212" s="76">
        <f t="shared" si="227"/>
        <v>-0.36628268681979903</v>
      </c>
      <c r="U212" s="240"/>
      <c r="V212" s="240"/>
      <c r="W212" s="240"/>
      <c r="X212" s="240"/>
      <c r="Y212" s="240"/>
      <c r="Z212" s="240"/>
      <c r="AA212" s="240"/>
      <c r="AB212" s="240"/>
      <c r="AC212" s="240"/>
      <c r="AD212" s="240"/>
      <c r="AE212" s="240"/>
      <c r="AF212" s="240"/>
      <c r="AG212" s="240"/>
      <c r="AH212" s="240"/>
      <c r="AI212" s="240"/>
      <c r="AJ212" s="240"/>
      <c r="AK212" s="240"/>
      <c r="AL212" s="240"/>
      <c r="AM212" s="240"/>
      <c r="AN212" s="240"/>
      <c r="AO212" s="240"/>
      <c r="AP212" s="240"/>
      <c r="AQ212" s="240"/>
      <c r="AR212" s="240"/>
      <c r="AS212" s="240"/>
      <c r="AT212" s="240"/>
      <c r="AU212" s="240"/>
      <c r="AV212" s="240"/>
      <c r="AW212" s="240"/>
      <c r="AX212" s="240"/>
      <c r="AY212" s="240"/>
      <c r="AZ212" s="240"/>
      <c r="BA212" s="240"/>
      <c r="BB212" s="240"/>
      <c r="BC212" s="240"/>
      <c r="BD212" s="240"/>
      <c r="BE212" s="240"/>
      <c r="BF212" s="240"/>
      <c r="BG212" s="240"/>
      <c r="BH212" s="240"/>
    </row>
    <row r="213" spans="2:60" s="236" customFormat="1">
      <c r="B213" s="72">
        <f>'OPG hydro peers'!B20</f>
        <v>1</v>
      </c>
      <c r="C213" s="72">
        <f t="shared" si="183"/>
        <v>15</v>
      </c>
      <c r="D213" s="72" t="str">
        <f>'OPG hydro peers'!D20</f>
        <v>Seattle</v>
      </c>
      <c r="E213" s="73">
        <v>2002</v>
      </c>
      <c r="F213" s="390">
        <v>1928.7</v>
      </c>
      <c r="G213" s="75">
        <f>M213/(F213*8760)</f>
        <v>0.40790121010366603</v>
      </c>
      <c r="H213" s="127"/>
      <c r="I213" s="127"/>
      <c r="J213" s="389">
        <v>22811.579999999998</v>
      </c>
      <c r="K213" s="75">
        <f>J213/$J$239</f>
        <v>3.2049294787654801E-2</v>
      </c>
      <c r="L213" s="75"/>
      <c r="M213" s="390">
        <v>6891659</v>
      </c>
      <c r="N213" s="389">
        <v>181848.12</v>
      </c>
      <c r="O213" s="127">
        <f t="shared" ref="O213:O223" si="228">N213-J213</f>
        <v>159036.54</v>
      </c>
      <c r="P213" s="75">
        <f>O213/N213</f>
        <v>0.87455696545006911</v>
      </c>
      <c r="Q213" s="75">
        <f>1-P213</f>
        <v>0.12544303454993089</v>
      </c>
      <c r="R213" s="125">
        <f t="shared" ref="R213:R223" si="229">Q213*L213</f>
        <v>0</v>
      </c>
      <c r="S213" s="125">
        <f>Q213-R213</f>
        <v>0.12544303454993089</v>
      </c>
      <c r="T213" s="125">
        <f>R213-S213</f>
        <v>-0.12544303454993089</v>
      </c>
      <c r="U213" s="237"/>
      <c r="V213" s="240"/>
      <c r="W213" s="240"/>
      <c r="X213" s="240"/>
      <c r="Y213" s="240"/>
      <c r="Z213" s="240"/>
      <c r="AA213" s="240"/>
      <c r="AB213" s="240"/>
      <c r="AC213" s="240"/>
      <c r="AD213" s="240"/>
      <c r="AE213" s="240"/>
      <c r="AF213" s="240"/>
      <c r="AG213" s="240"/>
      <c r="AH213" s="240"/>
      <c r="AI213" s="240"/>
      <c r="AJ213" s="240"/>
      <c r="AK213" s="240"/>
      <c r="AL213" s="240"/>
      <c r="AM213" s="240"/>
      <c r="AN213" s="240"/>
      <c r="AO213" s="240"/>
      <c r="AP213" s="240"/>
      <c r="AQ213" s="240"/>
      <c r="AR213" s="240"/>
      <c r="AS213" s="240"/>
      <c r="AT213" s="240"/>
      <c r="AU213" s="240"/>
      <c r="AV213" s="240"/>
      <c r="AW213" s="240"/>
      <c r="AX213" s="240"/>
      <c r="AY213" s="240"/>
      <c r="AZ213" s="240"/>
      <c r="BA213" s="240"/>
      <c r="BB213" s="240"/>
      <c r="BC213" s="240"/>
      <c r="BD213" s="240"/>
      <c r="BE213" s="240"/>
      <c r="BF213" s="240"/>
      <c r="BG213" s="240"/>
      <c r="BH213" s="240"/>
    </row>
    <row r="214" spans="2:60" s="236" customFormat="1">
      <c r="B214" s="72">
        <f t="shared" ref="B214:B225" si="230">B213</f>
        <v>1</v>
      </c>
      <c r="C214" s="72">
        <f t="shared" si="183"/>
        <v>15</v>
      </c>
      <c r="D214" s="72" t="str">
        <f t="shared" ref="D214:D225" si="231">D213</f>
        <v>Seattle</v>
      </c>
      <c r="E214" s="73">
        <v>2003</v>
      </c>
      <c r="F214" s="390">
        <v>1928.7</v>
      </c>
      <c r="G214" s="75">
        <f t="shared" ref="G214:G222" si="232">M214/(F214*8760)</f>
        <v>0.36097095471835788</v>
      </c>
      <c r="H214" s="127"/>
      <c r="I214" s="127"/>
      <c r="J214" s="389">
        <v>24859.53</v>
      </c>
      <c r="K214" s="75">
        <f>J214/$J$240</f>
        <v>3.1198999753820192E-2</v>
      </c>
      <c r="L214" s="75"/>
      <c r="M214" s="390">
        <v>6098753</v>
      </c>
      <c r="N214" s="389">
        <v>293020.44</v>
      </c>
      <c r="O214" s="127">
        <f t="shared" si="228"/>
        <v>268160.91000000003</v>
      </c>
      <c r="P214" s="75">
        <f t="shared" ref="P214:P223" si="233">O214/N214</f>
        <v>0.91516110616720125</v>
      </c>
      <c r="Q214" s="75">
        <f t="shared" ref="Q214:Q223" si="234">1-P214</f>
        <v>8.4838893832798745E-2</v>
      </c>
      <c r="R214" s="125">
        <f t="shared" si="229"/>
        <v>0</v>
      </c>
      <c r="S214" s="125">
        <f t="shared" ref="S214:S223" si="235">Q214-R214</f>
        <v>8.4838893832798745E-2</v>
      </c>
      <c r="T214" s="125">
        <f t="shared" ref="T214:T223" si="236">R214-S214</f>
        <v>-8.4838893832798745E-2</v>
      </c>
      <c r="U214" s="237"/>
      <c r="V214" s="240"/>
      <c r="W214" s="240"/>
      <c r="X214" s="240"/>
      <c r="Y214" s="240"/>
      <c r="Z214" s="240"/>
      <c r="AA214" s="240"/>
      <c r="AB214" s="240"/>
      <c r="AC214" s="240"/>
      <c r="AD214" s="240"/>
      <c r="AE214" s="240"/>
      <c r="AF214" s="240"/>
      <c r="AG214" s="240"/>
      <c r="AH214" s="240"/>
      <c r="AI214" s="240"/>
      <c r="AJ214" s="240"/>
      <c r="AK214" s="240"/>
      <c r="AL214" s="240"/>
      <c r="AM214" s="240"/>
      <c r="AN214" s="240"/>
      <c r="AO214" s="240"/>
      <c r="AP214" s="240"/>
      <c r="AQ214" s="240"/>
      <c r="AR214" s="240"/>
      <c r="AS214" s="240"/>
      <c r="AT214" s="240"/>
      <c r="AU214" s="240"/>
      <c r="AV214" s="240"/>
      <c r="AW214" s="240"/>
      <c r="AX214" s="240"/>
      <c r="AY214" s="240"/>
      <c r="AZ214" s="240"/>
      <c r="BA214" s="240"/>
      <c r="BB214" s="240"/>
      <c r="BC214" s="240"/>
      <c r="BD214" s="240"/>
      <c r="BE214" s="240"/>
      <c r="BF214" s="240"/>
      <c r="BG214" s="240"/>
      <c r="BH214" s="240"/>
    </row>
    <row r="215" spans="2:60" s="236" customFormat="1">
      <c r="B215" s="72">
        <f t="shared" si="230"/>
        <v>1</v>
      </c>
      <c r="C215" s="72">
        <f t="shared" si="183"/>
        <v>15</v>
      </c>
      <c r="D215" s="72" t="str">
        <f t="shared" si="231"/>
        <v>Seattle</v>
      </c>
      <c r="E215" s="73">
        <v>2004</v>
      </c>
      <c r="F215" s="390">
        <v>1928.7</v>
      </c>
      <c r="G215" s="75">
        <f t="shared" si="232"/>
        <v>0.35629240648289606</v>
      </c>
      <c r="H215" s="127"/>
      <c r="I215" s="127"/>
      <c r="J215" s="389">
        <v>24949.32</v>
      </c>
      <c r="K215" s="75">
        <f>J215/$J$241</f>
        <v>3.0377098273346628E-2</v>
      </c>
      <c r="L215" s="75"/>
      <c r="M215" s="390">
        <v>6019707</v>
      </c>
      <c r="N215" s="389">
        <v>324412.5</v>
      </c>
      <c r="O215" s="127">
        <f t="shared" si="228"/>
        <v>299463.18</v>
      </c>
      <c r="P215" s="75">
        <f t="shared" si="233"/>
        <v>0.92309383886255925</v>
      </c>
      <c r="Q215" s="75">
        <f t="shared" si="234"/>
        <v>7.6906161137440754E-2</v>
      </c>
      <c r="R215" s="125">
        <f t="shared" si="229"/>
        <v>0</v>
      </c>
      <c r="S215" s="125">
        <f t="shared" si="235"/>
        <v>7.6906161137440754E-2</v>
      </c>
      <c r="T215" s="125">
        <f t="shared" si="236"/>
        <v>-7.6906161137440754E-2</v>
      </c>
      <c r="U215" s="237"/>
      <c r="V215" s="240"/>
      <c r="W215" s="240"/>
      <c r="X215" s="240"/>
      <c r="Y215" s="240"/>
      <c r="Z215" s="240"/>
      <c r="AA215" s="240"/>
      <c r="AB215" s="240"/>
      <c r="AC215" s="240"/>
      <c r="AD215" s="240"/>
      <c r="AE215" s="240"/>
      <c r="AF215" s="240"/>
      <c r="AG215" s="240"/>
      <c r="AH215" s="240"/>
      <c r="AI215" s="240"/>
      <c r="AJ215" s="240"/>
      <c r="AK215" s="240"/>
      <c r="AL215" s="240"/>
      <c r="AM215" s="240"/>
      <c r="AN215" s="240"/>
      <c r="AO215" s="240"/>
      <c r="AP215" s="240"/>
      <c r="AQ215" s="240"/>
      <c r="AR215" s="240"/>
      <c r="AS215" s="240"/>
      <c r="AT215" s="240"/>
      <c r="AU215" s="240"/>
      <c r="AV215" s="240"/>
      <c r="AW215" s="240"/>
      <c r="AX215" s="240"/>
      <c r="AY215" s="240"/>
      <c r="AZ215" s="240"/>
      <c r="BA215" s="240"/>
      <c r="BB215" s="240"/>
      <c r="BC215" s="240"/>
      <c r="BD215" s="240"/>
      <c r="BE215" s="240"/>
      <c r="BF215" s="240"/>
      <c r="BG215" s="240"/>
      <c r="BH215" s="240"/>
    </row>
    <row r="216" spans="2:60" s="236" customFormat="1">
      <c r="B216" s="72">
        <f t="shared" si="230"/>
        <v>1</v>
      </c>
      <c r="C216" s="72">
        <f t="shared" si="183"/>
        <v>15</v>
      </c>
      <c r="D216" s="72" t="str">
        <f t="shared" si="231"/>
        <v>Seattle</v>
      </c>
      <c r="E216" s="73">
        <v>2005</v>
      </c>
      <c r="F216" s="390">
        <v>1928.6</v>
      </c>
      <c r="G216" s="75">
        <f t="shared" si="232"/>
        <v>0.32820037200193009</v>
      </c>
      <c r="H216" s="127"/>
      <c r="I216" s="127"/>
      <c r="J216" s="389">
        <v>23242.079999999998</v>
      </c>
      <c r="K216" s="75">
        <f>J216/$J$242</f>
        <v>2.6796769467375036E-2</v>
      </c>
      <c r="L216" s="75"/>
      <c r="M216" s="390">
        <v>5544793</v>
      </c>
      <c r="N216" s="389">
        <v>401320.71</v>
      </c>
      <c r="O216" s="127">
        <f t="shared" si="228"/>
        <v>378078.63</v>
      </c>
      <c r="P216" s="75">
        <f t="shared" si="233"/>
        <v>0.94208601893483146</v>
      </c>
      <c r="Q216" s="75">
        <f t="shared" si="234"/>
        <v>5.791398106516854E-2</v>
      </c>
      <c r="R216" s="125">
        <f t="shared" si="229"/>
        <v>0</v>
      </c>
      <c r="S216" s="125">
        <f t="shared" si="235"/>
        <v>5.791398106516854E-2</v>
      </c>
      <c r="T216" s="125">
        <f t="shared" si="236"/>
        <v>-5.791398106516854E-2</v>
      </c>
      <c r="U216" s="237"/>
      <c r="V216" s="240"/>
      <c r="W216" s="240"/>
      <c r="X216" s="240"/>
      <c r="Y216" s="240"/>
      <c r="Z216" s="240"/>
      <c r="AA216" s="240"/>
      <c r="AB216" s="240"/>
      <c r="AC216" s="240"/>
      <c r="AD216" s="240"/>
      <c r="AE216" s="240"/>
      <c r="AF216" s="240"/>
      <c r="AG216" s="240"/>
      <c r="AH216" s="240"/>
      <c r="AI216" s="240"/>
      <c r="AJ216" s="240"/>
      <c r="AK216" s="240"/>
      <c r="AL216" s="240"/>
      <c r="AM216" s="240"/>
      <c r="AN216" s="240"/>
      <c r="AO216" s="240"/>
      <c r="AP216" s="240"/>
      <c r="AQ216" s="240"/>
      <c r="AR216" s="240"/>
      <c r="AS216" s="240"/>
      <c r="AT216" s="240"/>
      <c r="AU216" s="240"/>
      <c r="AV216" s="240"/>
      <c r="AW216" s="240"/>
      <c r="AX216" s="240"/>
      <c r="AY216" s="240"/>
      <c r="AZ216" s="240"/>
      <c r="BA216" s="240"/>
      <c r="BB216" s="240"/>
      <c r="BC216" s="240"/>
      <c r="BD216" s="240"/>
      <c r="BE216" s="240"/>
      <c r="BF216" s="240"/>
      <c r="BG216" s="240"/>
      <c r="BH216" s="240"/>
    </row>
    <row r="217" spans="2:60" s="236" customFormat="1">
      <c r="B217" s="72">
        <f t="shared" si="230"/>
        <v>1</v>
      </c>
      <c r="C217" s="72">
        <f t="shared" ref="C217:C264" si="237">IF(D217=D216,C216,C216+1)</f>
        <v>15</v>
      </c>
      <c r="D217" s="72" t="str">
        <f t="shared" si="231"/>
        <v>Seattle</v>
      </c>
      <c r="E217" s="73">
        <v>2006</v>
      </c>
      <c r="F217" s="390">
        <v>1928.6</v>
      </c>
      <c r="G217" s="75">
        <f t="shared" si="232"/>
        <v>0.39752740175876983</v>
      </c>
      <c r="H217" s="127"/>
      <c r="I217" s="127"/>
      <c r="J217" s="389">
        <v>24063.72</v>
      </c>
      <c r="K217" s="75">
        <f>J217/$J$243</f>
        <v>2.6345790264403562E-2</v>
      </c>
      <c r="L217" s="75"/>
      <c r="M217" s="390">
        <v>6716041</v>
      </c>
      <c r="N217" s="389">
        <v>387697.23</v>
      </c>
      <c r="O217" s="127">
        <f t="shared" si="228"/>
        <v>363633.51</v>
      </c>
      <c r="P217" s="75">
        <f t="shared" si="233"/>
        <v>0.9379316689985121</v>
      </c>
      <c r="Q217" s="75">
        <f t="shared" si="234"/>
        <v>6.2068331001487898E-2</v>
      </c>
      <c r="R217" s="125">
        <f t="shared" si="229"/>
        <v>0</v>
      </c>
      <c r="S217" s="125">
        <f t="shared" si="235"/>
        <v>6.2068331001487898E-2</v>
      </c>
      <c r="T217" s="125">
        <f t="shared" si="236"/>
        <v>-6.2068331001487898E-2</v>
      </c>
      <c r="U217" s="237"/>
      <c r="V217" s="240"/>
      <c r="W217" s="240"/>
      <c r="X217" s="240"/>
      <c r="Y217" s="240"/>
      <c r="Z217" s="240"/>
      <c r="AA217" s="240"/>
      <c r="AB217" s="240"/>
      <c r="AC217" s="240"/>
      <c r="AD217" s="240"/>
      <c r="AE217" s="240"/>
      <c r="AF217" s="240"/>
      <c r="AG217" s="240"/>
      <c r="AH217" s="240"/>
      <c r="AI217" s="240"/>
      <c r="AJ217" s="240"/>
      <c r="AK217" s="240"/>
      <c r="AL217" s="240"/>
      <c r="AM217" s="240"/>
      <c r="AN217" s="240"/>
      <c r="AO217" s="240"/>
      <c r="AP217" s="240"/>
      <c r="AQ217" s="240"/>
      <c r="AR217" s="240"/>
      <c r="AS217" s="240"/>
      <c r="AT217" s="240"/>
      <c r="AU217" s="240"/>
      <c r="AV217" s="240"/>
      <c r="AW217" s="240"/>
      <c r="AX217" s="240"/>
      <c r="AY217" s="240"/>
      <c r="AZ217" s="240"/>
      <c r="BA217" s="240"/>
      <c r="BB217" s="240"/>
      <c r="BC217" s="240"/>
      <c r="BD217" s="240"/>
      <c r="BE217" s="240"/>
      <c r="BF217" s="240"/>
      <c r="BG217" s="240"/>
      <c r="BH217" s="240"/>
    </row>
    <row r="218" spans="2:60" s="236" customFormat="1">
      <c r="B218" s="72">
        <f t="shared" si="230"/>
        <v>1</v>
      </c>
      <c r="C218" s="72">
        <f t="shared" si="237"/>
        <v>15</v>
      </c>
      <c r="D218" s="72" t="str">
        <f t="shared" si="231"/>
        <v>Seattle</v>
      </c>
      <c r="E218" s="73">
        <v>2007</v>
      </c>
      <c r="F218" s="390">
        <v>1928.6</v>
      </c>
      <c r="G218" s="75">
        <f t="shared" si="232"/>
        <v>0.3865438506272087</v>
      </c>
      <c r="H218" s="127"/>
      <c r="I218" s="127"/>
      <c r="J218" s="389">
        <v>30718.02</v>
      </c>
      <c r="K218" s="75">
        <f>J218/$J$244</f>
        <v>3.0880568999441891E-2</v>
      </c>
      <c r="L218" s="75"/>
      <c r="M218" s="390">
        <v>6530479</v>
      </c>
      <c r="N218" s="389">
        <v>432000.6</v>
      </c>
      <c r="O218" s="127">
        <f t="shared" si="228"/>
        <v>401282.57999999996</v>
      </c>
      <c r="P218" s="75">
        <f t="shared" si="233"/>
        <v>0.92889357098115133</v>
      </c>
      <c r="Q218" s="75">
        <f t="shared" si="234"/>
        <v>7.1106429018848671E-2</v>
      </c>
      <c r="R218" s="125">
        <f t="shared" si="229"/>
        <v>0</v>
      </c>
      <c r="S218" s="125">
        <f t="shared" si="235"/>
        <v>7.1106429018848671E-2</v>
      </c>
      <c r="T218" s="125">
        <f t="shared" si="236"/>
        <v>-7.1106429018848671E-2</v>
      </c>
      <c r="U218" s="237"/>
      <c r="V218" s="240"/>
      <c r="W218" s="240"/>
      <c r="X218" s="240"/>
      <c r="Y218" s="240"/>
      <c r="Z218" s="240"/>
      <c r="AA218" s="240"/>
      <c r="AB218" s="240"/>
      <c r="AC218" s="240"/>
      <c r="AD218" s="240"/>
      <c r="AE218" s="240"/>
      <c r="AF218" s="240"/>
      <c r="AG218" s="240"/>
      <c r="AH218" s="240"/>
      <c r="AI218" s="240"/>
      <c r="AJ218" s="240"/>
      <c r="AK218" s="240"/>
      <c r="AL218" s="240"/>
      <c r="AM218" s="240"/>
      <c r="AN218" s="240"/>
      <c r="AO218" s="240"/>
      <c r="AP218" s="240"/>
      <c r="AQ218" s="240"/>
      <c r="AR218" s="240"/>
      <c r="AS218" s="240"/>
      <c r="AT218" s="240"/>
      <c r="AU218" s="240"/>
      <c r="AV218" s="240"/>
      <c r="AW218" s="240"/>
      <c r="AX218" s="240"/>
      <c r="AY218" s="240"/>
      <c r="AZ218" s="240"/>
      <c r="BA218" s="240"/>
      <c r="BB218" s="240"/>
      <c r="BC218" s="240"/>
      <c r="BD218" s="240"/>
      <c r="BE218" s="240"/>
      <c r="BF218" s="240"/>
      <c r="BG218" s="240"/>
      <c r="BH218" s="240"/>
    </row>
    <row r="219" spans="2:60" s="236" customFormat="1">
      <c r="B219" s="72">
        <f t="shared" si="230"/>
        <v>1</v>
      </c>
      <c r="C219" s="72">
        <f t="shared" si="237"/>
        <v>15</v>
      </c>
      <c r="D219" s="72" t="str">
        <f t="shared" si="231"/>
        <v>Seattle</v>
      </c>
      <c r="E219" s="73">
        <v>2008</v>
      </c>
      <c r="F219" s="390">
        <v>1928.6</v>
      </c>
      <c r="G219" s="75">
        <f t="shared" si="232"/>
        <v>0.37282610188288096</v>
      </c>
      <c r="H219" s="127"/>
      <c r="I219" s="127"/>
      <c r="J219" s="389">
        <v>34412.94</v>
      </c>
      <c r="K219" s="75">
        <f>J219/$J$245</f>
        <v>3.1760817293890201E-2</v>
      </c>
      <c r="L219" s="75"/>
      <c r="M219" s="390">
        <v>6298724</v>
      </c>
      <c r="N219" s="389">
        <v>478724.61</v>
      </c>
      <c r="O219" s="127">
        <f t="shared" si="228"/>
        <v>444311.67</v>
      </c>
      <c r="P219" s="75">
        <f t="shared" si="233"/>
        <v>0.92811537305341374</v>
      </c>
      <c r="Q219" s="75">
        <f t="shared" si="234"/>
        <v>7.1884626946586261E-2</v>
      </c>
      <c r="R219" s="125">
        <f t="shared" si="229"/>
        <v>0</v>
      </c>
      <c r="S219" s="125">
        <f t="shared" si="235"/>
        <v>7.1884626946586261E-2</v>
      </c>
      <c r="T219" s="125">
        <f t="shared" si="236"/>
        <v>-7.1884626946586261E-2</v>
      </c>
      <c r="U219" s="237"/>
      <c r="V219" s="240"/>
      <c r="W219" s="240"/>
      <c r="X219" s="240"/>
      <c r="Y219" s="240"/>
      <c r="Z219" s="240"/>
      <c r="AA219" s="240"/>
      <c r="AB219" s="240"/>
      <c r="AC219" s="240"/>
      <c r="AD219" s="240"/>
      <c r="AE219" s="240"/>
      <c r="AF219" s="240"/>
      <c r="AG219" s="240"/>
      <c r="AH219" s="240"/>
      <c r="AI219" s="240"/>
      <c r="AJ219" s="240"/>
      <c r="AK219" s="240"/>
      <c r="AL219" s="240"/>
      <c r="AM219" s="240"/>
      <c r="AN219" s="240"/>
      <c r="AO219" s="240"/>
      <c r="AP219" s="240"/>
      <c r="AQ219" s="240"/>
      <c r="AR219" s="240"/>
      <c r="AS219" s="240"/>
      <c r="AT219" s="240"/>
      <c r="AU219" s="240"/>
      <c r="AV219" s="240"/>
      <c r="AW219" s="240"/>
      <c r="AX219" s="240"/>
      <c r="AY219" s="240"/>
      <c r="AZ219" s="240"/>
      <c r="BA219" s="240"/>
      <c r="BB219" s="240"/>
      <c r="BC219" s="240"/>
      <c r="BD219" s="240"/>
      <c r="BE219" s="240"/>
      <c r="BF219" s="240"/>
      <c r="BG219" s="240"/>
      <c r="BH219" s="240"/>
    </row>
    <row r="220" spans="2:60" s="236" customFormat="1">
      <c r="B220" s="72">
        <f t="shared" si="230"/>
        <v>1</v>
      </c>
      <c r="C220" s="72">
        <f t="shared" si="237"/>
        <v>15</v>
      </c>
      <c r="D220" s="72" t="str">
        <f t="shared" si="231"/>
        <v>Seattle</v>
      </c>
      <c r="E220" s="73">
        <v>2009</v>
      </c>
      <c r="F220" s="390">
        <v>1928.6</v>
      </c>
      <c r="G220" s="75">
        <f t="shared" si="232"/>
        <v>0.34794575003421224</v>
      </c>
      <c r="H220" s="127"/>
      <c r="I220" s="127"/>
      <c r="J220" s="389">
        <v>35205.06</v>
      </c>
      <c r="K220" s="75">
        <f>J220/$J$246</f>
        <v>3.2798712902431464E-2</v>
      </c>
      <c r="L220" s="75"/>
      <c r="M220" s="390">
        <v>5878382</v>
      </c>
      <c r="N220" s="389">
        <v>239954.55</v>
      </c>
      <c r="O220" s="127">
        <f t="shared" si="228"/>
        <v>204749.49</v>
      </c>
      <c r="P220" s="75">
        <f t="shared" si="233"/>
        <v>0.8532844657457006</v>
      </c>
      <c r="Q220" s="75">
        <f t="shared" si="234"/>
        <v>0.1467155342542994</v>
      </c>
      <c r="R220" s="125">
        <f t="shared" si="229"/>
        <v>0</v>
      </c>
      <c r="S220" s="125">
        <f t="shared" si="235"/>
        <v>0.1467155342542994</v>
      </c>
      <c r="T220" s="125">
        <f t="shared" si="236"/>
        <v>-0.1467155342542994</v>
      </c>
      <c r="U220" s="237"/>
      <c r="V220" s="240"/>
      <c r="W220" s="240"/>
      <c r="X220" s="240"/>
      <c r="Y220" s="240"/>
      <c r="Z220" s="240"/>
      <c r="AA220" s="240"/>
      <c r="AB220" s="240"/>
      <c r="AC220" s="240"/>
      <c r="AD220" s="240"/>
      <c r="AE220" s="240"/>
      <c r="AF220" s="240"/>
      <c r="AG220" s="240"/>
      <c r="AH220" s="240"/>
      <c r="AI220" s="240"/>
      <c r="AJ220" s="240"/>
      <c r="AK220" s="240"/>
      <c r="AL220" s="240"/>
      <c r="AM220" s="240"/>
      <c r="AN220" s="240"/>
      <c r="AO220" s="240"/>
      <c r="AP220" s="240"/>
      <c r="AQ220" s="240"/>
      <c r="AR220" s="240"/>
      <c r="AS220" s="240"/>
      <c r="AT220" s="240"/>
      <c r="AU220" s="240"/>
      <c r="AV220" s="240"/>
      <c r="AW220" s="240"/>
      <c r="AX220" s="240"/>
      <c r="AY220" s="240"/>
      <c r="AZ220" s="240"/>
      <c r="BA220" s="240"/>
      <c r="BB220" s="240"/>
      <c r="BC220" s="240"/>
      <c r="BD220" s="240"/>
      <c r="BE220" s="240"/>
      <c r="BF220" s="240"/>
      <c r="BG220" s="240"/>
      <c r="BH220" s="240"/>
    </row>
    <row r="221" spans="2:60" s="236" customFormat="1">
      <c r="B221" s="72">
        <f t="shared" si="230"/>
        <v>1</v>
      </c>
      <c r="C221" s="72">
        <f t="shared" si="237"/>
        <v>15</v>
      </c>
      <c r="D221" s="72" t="str">
        <f t="shared" si="231"/>
        <v>Seattle</v>
      </c>
      <c r="E221" s="73">
        <v>2010</v>
      </c>
      <c r="F221" s="390">
        <v>1928.6</v>
      </c>
      <c r="G221" s="75">
        <f t="shared" si="232"/>
        <v>0.32609306346146472</v>
      </c>
      <c r="H221" s="127"/>
      <c r="I221" s="127"/>
      <c r="J221" s="389">
        <v>27512.639999999999</v>
      </c>
      <c r="K221" s="75">
        <f>J221/$J$247</f>
        <v>2.3866486820549749E-2</v>
      </c>
      <c r="L221" s="75"/>
      <c r="M221" s="390">
        <v>5509191</v>
      </c>
      <c r="N221" s="389">
        <v>229894.38</v>
      </c>
      <c r="O221" s="127">
        <f t="shared" si="228"/>
        <v>202381.74</v>
      </c>
      <c r="P221" s="75">
        <f t="shared" si="233"/>
        <v>0.88032486918557984</v>
      </c>
      <c r="Q221" s="75">
        <f t="shared" si="234"/>
        <v>0.11967513081442016</v>
      </c>
      <c r="R221" s="125">
        <f t="shared" si="229"/>
        <v>0</v>
      </c>
      <c r="S221" s="125">
        <f t="shared" si="235"/>
        <v>0.11967513081442016</v>
      </c>
      <c r="T221" s="125">
        <f t="shared" si="236"/>
        <v>-0.11967513081442016</v>
      </c>
      <c r="U221" s="237"/>
      <c r="V221" s="240"/>
      <c r="W221" s="240"/>
      <c r="X221" s="240"/>
      <c r="Y221" s="240"/>
      <c r="Z221" s="240"/>
      <c r="AA221" s="240"/>
      <c r="AB221" s="240"/>
      <c r="AC221" s="240"/>
      <c r="AD221" s="240"/>
      <c r="AE221" s="240"/>
      <c r="AF221" s="240"/>
      <c r="AG221" s="240"/>
      <c r="AH221" s="240"/>
      <c r="AI221" s="240"/>
      <c r="AJ221" s="240"/>
      <c r="AK221" s="240"/>
      <c r="AL221" s="240"/>
      <c r="AM221" s="240"/>
      <c r="AN221" s="240"/>
      <c r="AO221" s="240"/>
      <c r="AP221" s="240"/>
      <c r="AQ221" s="240"/>
      <c r="AR221" s="240"/>
      <c r="AS221" s="240"/>
      <c r="AT221" s="240"/>
      <c r="AU221" s="240"/>
      <c r="AV221" s="240"/>
      <c r="AW221" s="240"/>
      <c r="AX221" s="240"/>
      <c r="AY221" s="240"/>
      <c r="AZ221" s="240"/>
      <c r="BA221" s="240"/>
      <c r="BB221" s="240"/>
      <c r="BC221" s="240"/>
      <c r="BD221" s="240"/>
      <c r="BE221" s="240"/>
      <c r="BF221" s="240"/>
      <c r="BG221" s="240"/>
      <c r="BH221" s="240"/>
    </row>
    <row r="222" spans="2:60" s="236" customFormat="1">
      <c r="B222" s="72">
        <f t="shared" si="230"/>
        <v>1</v>
      </c>
      <c r="C222" s="72">
        <f t="shared" si="237"/>
        <v>15</v>
      </c>
      <c r="D222" s="72" t="str">
        <f t="shared" si="231"/>
        <v>Seattle</v>
      </c>
      <c r="E222" s="73">
        <v>2011</v>
      </c>
      <c r="F222" s="390">
        <v>1928.6</v>
      </c>
      <c r="G222" s="75">
        <f t="shared" si="232"/>
        <v>0.44670685244033931</v>
      </c>
      <c r="H222" s="127"/>
      <c r="I222" s="127"/>
      <c r="J222" s="389">
        <v>36035.31</v>
      </c>
      <c r="K222" s="75">
        <f>J222/$J$248</f>
        <v>3.1322642925461983E-2</v>
      </c>
      <c r="L222" s="75"/>
      <c r="M222" s="390">
        <v>7546905</v>
      </c>
      <c r="N222" s="389">
        <v>256800.63</v>
      </c>
      <c r="O222" s="127">
        <f t="shared" si="228"/>
        <v>220765.32</v>
      </c>
      <c r="P222" s="75">
        <f t="shared" si="233"/>
        <v>0.85967592836512907</v>
      </c>
      <c r="Q222" s="75">
        <f t="shared" si="234"/>
        <v>0.14032407163487093</v>
      </c>
      <c r="R222" s="125">
        <f t="shared" si="229"/>
        <v>0</v>
      </c>
      <c r="S222" s="125">
        <f t="shared" si="235"/>
        <v>0.14032407163487093</v>
      </c>
      <c r="T222" s="125">
        <f t="shared" si="236"/>
        <v>-0.14032407163487093</v>
      </c>
      <c r="U222" s="237"/>
      <c r="V222" s="240"/>
      <c r="W222" s="240"/>
      <c r="X222" s="240"/>
      <c r="Y222" s="240"/>
      <c r="Z222" s="240"/>
      <c r="AA222" s="240"/>
      <c r="AB222" s="240"/>
      <c r="AC222" s="240"/>
      <c r="AD222" s="240"/>
      <c r="AE222" s="240"/>
      <c r="AF222" s="240"/>
      <c r="AG222" s="240"/>
      <c r="AH222" s="240"/>
      <c r="AI222" s="240"/>
      <c r="AJ222" s="240"/>
      <c r="AK222" s="240"/>
      <c r="AL222" s="240"/>
      <c r="AM222" s="240"/>
      <c r="AN222" s="240"/>
      <c r="AO222" s="240"/>
      <c r="AP222" s="240"/>
      <c r="AQ222" s="240"/>
      <c r="AR222" s="240"/>
      <c r="AS222" s="240"/>
      <c r="AT222" s="240"/>
      <c r="AU222" s="240"/>
      <c r="AV222" s="240"/>
      <c r="AW222" s="240"/>
      <c r="AX222" s="240"/>
      <c r="AY222" s="240"/>
      <c r="AZ222" s="240"/>
      <c r="BA222" s="240"/>
      <c r="BB222" s="240"/>
      <c r="BC222" s="240"/>
      <c r="BD222" s="240"/>
      <c r="BE222" s="240"/>
      <c r="BF222" s="240"/>
      <c r="BG222" s="240"/>
      <c r="BH222" s="240"/>
    </row>
    <row r="223" spans="2:60" s="236" customFormat="1">
      <c r="B223" s="72">
        <f t="shared" si="230"/>
        <v>1</v>
      </c>
      <c r="C223" s="72">
        <f t="shared" si="237"/>
        <v>15</v>
      </c>
      <c r="D223" s="72" t="str">
        <f t="shared" si="231"/>
        <v>Seattle</v>
      </c>
      <c r="E223" s="73">
        <v>2012</v>
      </c>
      <c r="F223" s="390">
        <v>1928.6</v>
      </c>
      <c r="G223" s="75">
        <f>M223/(F223*8760)</f>
        <v>0.41120324346285686</v>
      </c>
      <c r="H223" s="127"/>
      <c r="I223" s="127"/>
      <c r="J223" s="389">
        <v>39715.47</v>
      </c>
      <c r="K223" s="75">
        <f>J223/$J$249</f>
        <v>3.3463869403597794E-2</v>
      </c>
      <c r="L223" s="75"/>
      <c r="M223" s="390">
        <v>6947088</v>
      </c>
      <c r="N223" s="389">
        <v>177021.6</v>
      </c>
      <c r="O223" s="127">
        <f t="shared" si="228"/>
        <v>137306.13</v>
      </c>
      <c r="P223" s="75">
        <f t="shared" si="233"/>
        <v>0.77564619232907173</v>
      </c>
      <c r="Q223" s="75">
        <f t="shared" si="234"/>
        <v>0.22435380767092827</v>
      </c>
      <c r="R223" s="125">
        <f t="shared" si="229"/>
        <v>0</v>
      </c>
      <c r="S223" s="125">
        <f t="shared" si="235"/>
        <v>0.22435380767092827</v>
      </c>
      <c r="T223" s="125">
        <f t="shared" si="236"/>
        <v>-0.22435380767092827</v>
      </c>
      <c r="U223" s="237"/>
      <c r="V223" s="240"/>
      <c r="W223" s="240"/>
      <c r="X223" s="240"/>
      <c r="Y223" s="240"/>
      <c r="Z223" s="240"/>
      <c r="AA223" s="240"/>
      <c r="AB223" s="240"/>
      <c r="AC223" s="240"/>
      <c r="AD223" s="240"/>
      <c r="AE223" s="240"/>
      <c r="AF223" s="240"/>
      <c r="AG223" s="240"/>
      <c r="AH223" s="240"/>
      <c r="AI223" s="240"/>
      <c r="AJ223" s="240"/>
      <c r="AK223" s="240"/>
      <c r="AL223" s="240"/>
      <c r="AM223" s="240"/>
      <c r="AN223" s="240"/>
      <c r="AO223" s="240"/>
      <c r="AP223" s="240"/>
      <c r="AQ223" s="240"/>
      <c r="AR223" s="240"/>
      <c r="AS223" s="240"/>
      <c r="AT223" s="240"/>
      <c r="AU223" s="240"/>
      <c r="AV223" s="240"/>
      <c r="AW223" s="240"/>
      <c r="AX223" s="240"/>
      <c r="AY223" s="240"/>
      <c r="AZ223" s="240"/>
      <c r="BA223" s="240"/>
      <c r="BB223" s="240"/>
      <c r="BC223" s="240"/>
      <c r="BD223" s="240"/>
      <c r="BE223" s="240"/>
      <c r="BF223" s="240"/>
      <c r="BG223" s="240"/>
      <c r="BH223" s="240"/>
    </row>
    <row r="224" spans="2:60" s="236" customFormat="1">
      <c r="B224" s="72">
        <f t="shared" si="230"/>
        <v>1</v>
      </c>
      <c r="C224" s="72">
        <f t="shared" si="237"/>
        <v>15</v>
      </c>
      <c r="D224" s="72" t="str">
        <f t="shared" si="231"/>
        <v>Seattle</v>
      </c>
      <c r="E224" s="73">
        <v>2013</v>
      </c>
      <c r="F224" s="390">
        <v>1928.6</v>
      </c>
      <c r="G224" s="75">
        <f t="shared" ref="G224:G225" si="238">M224/(F224*8760)</f>
        <v>0.36159075336546681</v>
      </c>
      <c r="H224" s="127"/>
      <c r="I224" s="127"/>
      <c r="J224" s="389">
        <v>49200</v>
      </c>
      <c r="K224" s="75">
        <f>J224/$J$250</f>
        <v>4.1930722409942202E-2</v>
      </c>
      <c r="L224" s="72"/>
      <c r="M224" s="390">
        <v>6108908</v>
      </c>
      <c r="N224" s="389">
        <v>267775.91109541967</v>
      </c>
      <c r="O224" s="127">
        <f t="shared" ref="O224:O225" si="239">N224-J224</f>
        <v>218575.91109541967</v>
      </c>
      <c r="P224" s="75">
        <f t="shared" ref="P224:P225" si="240">O224/N224</f>
        <v>0.81626427934188595</v>
      </c>
      <c r="Q224" s="75">
        <f t="shared" ref="Q224:Q225" si="241">1-P224</f>
        <v>0.18373572065811405</v>
      </c>
      <c r="R224" s="125">
        <f t="shared" ref="R224:R225" si="242">Q224*L224</f>
        <v>0</v>
      </c>
      <c r="S224" s="125">
        <f t="shared" ref="S224:S225" si="243">Q224-R224</f>
        <v>0.18373572065811405</v>
      </c>
      <c r="T224" s="125">
        <f t="shared" ref="T224:T225" si="244">R224-S224</f>
        <v>-0.18373572065811405</v>
      </c>
      <c r="U224" s="237"/>
      <c r="V224" s="240"/>
      <c r="W224" s="240"/>
      <c r="X224" s="240"/>
      <c r="Y224" s="240"/>
      <c r="Z224" s="240"/>
      <c r="AA224" s="240"/>
      <c r="AB224" s="240"/>
      <c r="AC224" s="240"/>
      <c r="AD224" s="240"/>
      <c r="AE224" s="240"/>
      <c r="AF224" s="240"/>
      <c r="AG224" s="240"/>
      <c r="AH224" s="240"/>
      <c r="AI224" s="240"/>
      <c r="AJ224" s="240"/>
      <c r="AK224" s="240"/>
      <c r="AL224" s="240"/>
      <c r="AM224" s="240"/>
      <c r="AN224" s="240"/>
      <c r="AO224" s="240"/>
      <c r="AP224" s="240"/>
      <c r="AQ224" s="240"/>
      <c r="AR224" s="240"/>
      <c r="AS224" s="240"/>
      <c r="AT224" s="240"/>
      <c r="AU224" s="240"/>
      <c r="AV224" s="240"/>
      <c r="AW224" s="240"/>
      <c r="AX224" s="240"/>
      <c r="AY224" s="240"/>
      <c r="AZ224" s="240"/>
      <c r="BA224" s="240"/>
      <c r="BB224" s="240"/>
      <c r="BC224" s="240"/>
      <c r="BD224" s="240"/>
      <c r="BE224" s="240"/>
      <c r="BF224" s="240"/>
      <c r="BG224" s="240"/>
      <c r="BH224" s="240"/>
    </row>
    <row r="225" spans="2:60" s="236" customFormat="1">
      <c r="B225" s="72">
        <f t="shared" si="230"/>
        <v>1</v>
      </c>
      <c r="C225" s="72">
        <f t="shared" si="237"/>
        <v>15</v>
      </c>
      <c r="D225" s="72" t="str">
        <f t="shared" si="231"/>
        <v>Seattle</v>
      </c>
      <c r="E225" s="73">
        <v>2014</v>
      </c>
      <c r="F225" s="390">
        <v>1928.6</v>
      </c>
      <c r="G225" s="75">
        <f t="shared" si="238"/>
        <v>0.41974328268027011</v>
      </c>
      <c r="H225" s="127"/>
      <c r="I225" s="127"/>
      <c r="J225" s="389">
        <v>43750</v>
      </c>
      <c r="K225" s="75">
        <f>J225/$J$251</f>
        <v>3.6345678295753074E-2</v>
      </c>
      <c r="L225" s="72"/>
      <c r="M225" s="390">
        <v>7091368</v>
      </c>
      <c r="N225" s="389">
        <v>331023.64445432753</v>
      </c>
      <c r="O225" s="127">
        <f t="shared" si="239"/>
        <v>287273.64445432753</v>
      </c>
      <c r="P225" s="75">
        <f t="shared" si="240"/>
        <v>0.86783421446489351</v>
      </c>
      <c r="Q225" s="75">
        <f t="shared" si="241"/>
        <v>0.13216578553510649</v>
      </c>
      <c r="R225" s="125">
        <f t="shared" si="242"/>
        <v>0</v>
      </c>
      <c r="S225" s="125">
        <f t="shared" si="243"/>
        <v>0.13216578553510649</v>
      </c>
      <c r="T225" s="125">
        <f t="shared" si="244"/>
        <v>-0.13216578553510649</v>
      </c>
      <c r="U225" s="237"/>
      <c r="V225" s="240"/>
      <c r="W225" s="240"/>
      <c r="X225" s="240"/>
      <c r="Y225" s="240"/>
      <c r="Z225" s="240"/>
      <c r="AA225" s="240"/>
      <c r="AB225" s="240"/>
      <c r="AC225" s="240"/>
      <c r="AD225" s="240"/>
      <c r="AE225" s="240"/>
      <c r="AF225" s="240"/>
      <c r="AG225" s="240"/>
      <c r="AH225" s="240"/>
      <c r="AI225" s="240"/>
      <c r="AJ225" s="240"/>
      <c r="AK225" s="240"/>
      <c r="AL225" s="240"/>
      <c r="AM225" s="240"/>
      <c r="AN225" s="240"/>
      <c r="AO225" s="240"/>
      <c r="AP225" s="240"/>
      <c r="AQ225" s="240"/>
      <c r="AR225" s="240"/>
      <c r="AS225" s="240"/>
      <c r="AT225" s="240"/>
      <c r="AU225" s="240"/>
      <c r="AV225" s="240"/>
      <c r="AW225" s="240"/>
      <c r="AX225" s="240"/>
      <c r="AY225" s="240"/>
      <c r="AZ225" s="240"/>
      <c r="BA225" s="240"/>
      <c r="BB225" s="240"/>
      <c r="BC225" s="240"/>
      <c r="BD225" s="240"/>
      <c r="BE225" s="240"/>
      <c r="BF225" s="240"/>
      <c r="BG225" s="240"/>
      <c r="BH225" s="240"/>
    </row>
    <row r="226" spans="2:60">
      <c r="B226" s="69">
        <f>'OPG hydro peers'!B21</f>
        <v>0</v>
      </c>
      <c r="C226" s="69">
        <f t="shared" ref="B226:D234" si="245">C225</f>
        <v>15</v>
      </c>
      <c r="D226" s="69" t="str">
        <f>'OPG hydro peers'!D21</f>
        <v>WAPA</v>
      </c>
      <c r="E226" s="70">
        <v>2002</v>
      </c>
      <c r="F226" s="391">
        <v>9847</v>
      </c>
      <c r="G226" s="76">
        <f>M226/(F226*8760)</f>
        <v>0.28488383685919683</v>
      </c>
      <c r="H226" s="138"/>
      <c r="I226" s="138"/>
      <c r="J226" s="388">
        <v>183865.85312499941</v>
      </c>
      <c r="K226" s="76">
        <f t="shared" ref="K226:K238" si="246">J226/$J239</f>
        <v>0.25832366404197987</v>
      </c>
      <c r="L226" s="69"/>
      <c r="M226" s="391">
        <v>24574000</v>
      </c>
      <c r="N226" s="388">
        <v>744497.5</v>
      </c>
      <c r="O226" s="138">
        <f t="shared" ref="O226:O238" si="247">N226-J226</f>
        <v>560631.64687500056</v>
      </c>
      <c r="P226" s="76">
        <f>O226/N226</f>
        <v>0.75303361915251632</v>
      </c>
      <c r="Q226" s="76">
        <f>1-P226</f>
        <v>0.24696638084748368</v>
      </c>
      <c r="R226" s="126">
        <f t="shared" ref="R226:R238" si="248">Q226*L226</f>
        <v>0</v>
      </c>
      <c r="S226" s="126">
        <f>Q226-R226</f>
        <v>0.24696638084748368</v>
      </c>
      <c r="T226" s="126">
        <f>R226-S226</f>
        <v>-0.24696638084748368</v>
      </c>
      <c r="V226" s="2"/>
      <c r="W226" s="2"/>
      <c r="Y226" s="15"/>
      <c r="Z226" s="15"/>
      <c r="AA226" s="15"/>
    </row>
    <row r="227" spans="2:60">
      <c r="B227" s="69">
        <f t="shared" si="245"/>
        <v>0</v>
      </c>
      <c r="C227" s="69">
        <f t="shared" si="245"/>
        <v>15</v>
      </c>
      <c r="D227" s="69" t="str">
        <f t="shared" si="245"/>
        <v>WAPA</v>
      </c>
      <c r="E227" s="70">
        <v>2003</v>
      </c>
      <c r="F227" s="391">
        <v>9694</v>
      </c>
      <c r="G227" s="76">
        <f t="shared" ref="G227:G238" si="249">M227/(F227*8760)</f>
        <v>0.29133494050361142</v>
      </c>
      <c r="H227" s="138"/>
      <c r="I227" s="138"/>
      <c r="J227" s="388">
        <v>224762.5357624999</v>
      </c>
      <c r="K227" s="76">
        <f t="shared" si="246"/>
        <v>0.28207960077773947</v>
      </c>
      <c r="L227" s="69"/>
      <c r="M227" s="391">
        <v>24740000</v>
      </c>
      <c r="N227" s="388">
        <v>851412.5</v>
      </c>
      <c r="O227" s="138">
        <f t="shared" si="247"/>
        <v>626649.9642375001</v>
      </c>
      <c r="P227" s="76">
        <f t="shared" ref="P227:P238" si="250">O227/N227</f>
        <v>0.73601217299193999</v>
      </c>
      <c r="Q227" s="76">
        <f t="shared" ref="Q227:Q238" si="251">1-P227</f>
        <v>0.26398782700806001</v>
      </c>
      <c r="R227" s="126">
        <f t="shared" si="248"/>
        <v>0</v>
      </c>
      <c r="S227" s="126">
        <f t="shared" ref="S227:T238" si="252">Q227-R227</f>
        <v>0.26398782700806001</v>
      </c>
      <c r="T227" s="126">
        <f t="shared" si="252"/>
        <v>-0.26398782700806001</v>
      </c>
      <c r="V227" s="2"/>
      <c r="W227" s="2"/>
      <c r="Y227" s="15"/>
      <c r="Z227" s="15"/>
      <c r="AA227" s="15"/>
    </row>
    <row r="228" spans="2:60">
      <c r="B228" s="69">
        <f t="shared" si="245"/>
        <v>0</v>
      </c>
      <c r="C228" s="69">
        <f t="shared" si="245"/>
        <v>15</v>
      </c>
      <c r="D228" s="69" t="str">
        <f t="shared" si="245"/>
        <v>WAPA</v>
      </c>
      <c r="E228" s="70">
        <v>2004</v>
      </c>
      <c r="F228" s="391">
        <v>9714</v>
      </c>
      <c r="G228" s="76">
        <f t="shared" si="249"/>
        <v>0.28116929573942612</v>
      </c>
      <c r="H228" s="138"/>
      <c r="I228" s="138"/>
      <c r="J228" s="388">
        <v>212504.31264999986</v>
      </c>
      <c r="K228" s="76">
        <f t="shared" si="246"/>
        <v>0.25873508331605921</v>
      </c>
      <c r="L228" s="69"/>
      <c r="M228" s="391">
        <v>23926000</v>
      </c>
      <c r="N228" s="388">
        <v>915860</v>
      </c>
      <c r="O228" s="138">
        <f t="shared" si="247"/>
        <v>703355.68735000014</v>
      </c>
      <c r="P228" s="76">
        <f t="shared" si="250"/>
        <v>0.76797292965082009</v>
      </c>
      <c r="Q228" s="76">
        <f t="shared" si="251"/>
        <v>0.23202707034917991</v>
      </c>
      <c r="R228" s="126">
        <f t="shared" si="248"/>
        <v>0</v>
      </c>
      <c r="S228" s="126">
        <f t="shared" si="252"/>
        <v>0.23202707034917991</v>
      </c>
      <c r="T228" s="126">
        <f t="shared" si="252"/>
        <v>-0.23202707034917991</v>
      </c>
      <c r="V228" s="2"/>
      <c r="W228" s="2"/>
      <c r="Y228" s="15"/>
      <c r="Z228" s="15"/>
      <c r="AA228" s="15"/>
    </row>
    <row r="229" spans="2:60">
      <c r="B229" s="69">
        <f t="shared" si="245"/>
        <v>0</v>
      </c>
      <c r="C229" s="69">
        <f t="shared" si="245"/>
        <v>15</v>
      </c>
      <c r="D229" s="69" t="str">
        <f t="shared" si="245"/>
        <v>WAPA</v>
      </c>
      <c r="E229" s="70">
        <v>2005</v>
      </c>
      <c r="F229" s="391">
        <v>9746</v>
      </c>
      <c r="G229" s="76">
        <f t="shared" si="249"/>
        <v>0.24562236983771354</v>
      </c>
      <c r="H229" s="138"/>
      <c r="I229" s="138"/>
      <c r="J229" s="388">
        <v>233634.00432499967</v>
      </c>
      <c r="K229" s="76">
        <f t="shared" si="246"/>
        <v>0.26936644885641553</v>
      </c>
      <c r="L229" s="69"/>
      <c r="M229" s="391">
        <v>20970000</v>
      </c>
      <c r="N229" s="388">
        <v>889493.75</v>
      </c>
      <c r="O229" s="138">
        <f t="shared" si="247"/>
        <v>655859.74567500036</v>
      </c>
      <c r="P229" s="76">
        <f t="shared" si="250"/>
        <v>0.73734047673184933</v>
      </c>
      <c r="Q229" s="76">
        <f t="shared" si="251"/>
        <v>0.26265952326815067</v>
      </c>
      <c r="R229" s="126">
        <f t="shared" si="248"/>
        <v>0</v>
      </c>
      <c r="S229" s="126">
        <f t="shared" si="252"/>
        <v>0.26265952326815067</v>
      </c>
      <c r="T229" s="126">
        <f t="shared" si="252"/>
        <v>-0.26265952326815067</v>
      </c>
      <c r="V229" s="2"/>
      <c r="W229" s="2"/>
      <c r="Y229" s="15"/>
      <c r="Z229" s="15"/>
      <c r="AA229" s="15"/>
    </row>
    <row r="230" spans="2:60">
      <c r="B230" s="69">
        <f t="shared" si="245"/>
        <v>0</v>
      </c>
      <c r="C230" s="69">
        <f t="shared" si="245"/>
        <v>15</v>
      </c>
      <c r="D230" s="69" t="str">
        <f t="shared" si="245"/>
        <v>WAPA</v>
      </c>
      <c r="E230" s="70">
        <v>2006</v>
      </c>
      <c r="F230" s="391">
        <v>9848</v>
      </c>
      <c r="G230" s="76">
        <f t="shared" si="249"/>
        <v>0.30422467162977718</v>
      </c>
      <c r="H230" s="138"/>
      <c r="I230" s="138"/>
      <c r="J230" s="388">
        <v>240871.11517500039</v>
      </c>
      <c r="K230" s="76">
        <f t="shared" si="246"/>
        <v>0.26371400104196502</v>
      </c>
      <c r="L230" s="69"/>
      <c r="M230" s="391">
        <v>26245000</v>
      </c>
      <c r="N230" s="388">
        <v>985550</v>
      </c>
      <c r="O230" s="138">
        <f t="shared" si="247"/>
        <v>744678.88482499961</v>
      </c>
      <c r="P230" s="76">
        <f t="shared" si="250"/>
        <v>0.75559726530871052</v>
      </c>
      <c r="Q230" s="76">
        <f t="shared" si="251"/>
        <v>0.24440273469128948</v>
      </c>
      <c r="R230" s="126">
        <f t="shared" si="248"/>
        <v>0</v>
      </c>
      <c r="S230" s="126">
        <f t="shared" si="252"/>
        <v>0.24440273469128948</v>
      </c>
      <c r="T230" s="126">
        <f t="shared" si="252"/>
        <v>-0.24440273469128948</v>
      </c>
      <c r="V230" s="2"/>
      <c r="W230" s="2"/>
      <c r="Y230" s="15"/>
      <c r="Z230" s="15"/>
      <c r="AA230" s="15"/>
    </row>
    <row r="231" spans="2:60">
      <c r="B231" s="69">
        <f t="shared" si="245"/>
        <v>0</v>
      </c>
      <c r="C231" s="69">
        <f t="shared" si="245"/>
        <v>15</v>
      </c>
      <c r="D231" s="69" t="str">
        <f t="shared" si="245"/>
        <v>WAPA</v>
      </c>
      <c r="E231" s="70">
        <v>2007</v>
      </c>
      <c r="F231" s="391">
        <v>9952</v>
      </c>
      <c r="G231" s="76">
        <f t="shared" si="249"/>
        <v>0.2520201992394544</v>
      </c>
      <c r="H231" s="138"/>
      <c r="I231" s="138"/>
      <c r="J231" s="388">
        <v>265302.41946249991</v>
      </c>
      <c r="K231" s="76">
        <f t="shared" si="246"/>
        <v>0.26670630691465802</v>
      </c>
      <c r="L231" s="69"/>
      <c r="M231" s="391">
        <v>21971000</v>
      </c>
      <c r="N231" s="388">
        <v>992306.25</v>
      </c>
      <c r="O231" s="138">
        <f t="shared" si="247"/>
        <v>727003.83053750009</v>
      </c>
      <c r="P231" s="76">
        <f t="shared" si="250"/>
        <v>0.73264058403088772</v>
      </c>
      <c r="Q231" s="76">
        <f t="shared" si="251"/>
        <v>0.26735941596911228</v>
      </c>
      <c r="R231" s="126">
        <f t="shared" si="248"/>
        <v>0</v>
      </c>
      <c r="S231" s="126">
        <f t="shared" si="252"/>
        <v>0.26735941596911228</v>
      </c>
      <c r="T231" s="126">
        <f t="shared" si="252"/>
        <v>-0.26735941596911228</v>
      </c>
      <c r="V231" s="2"/>
      <c r="W231" s="2"/>
      <c r="Y231" s="15"/>
      <c r="Z231" s="15"/>
      <c r="AA231" s="15"/>
    </row>
    <row r="232" spans="2:60">
      <c r="B232" s="69">
        <f t="shared" si="245"/>
        <v>0</v>
      </c>
      <c r="C232" s="69">
        <f t="shared" si="245"/>
        <v>15</v>
      </c>
      <c r="D232" s="69" t="str">
        <f t="shared" si="245"/>
        <v>WAPA</v>
      </c>
      <c r="E232" s="70">
        <v>2008</v>
      </c>
      <c r="F232" s="391">
        <v>9935</v>
      </c>
      <c r="G232" s="76">
        <f t="shared" si="249"/>
        <v>0.25096919933908302</v>
      </c>
      <c r="H232" s="138"/>
      <c r="I232" s="138"/>
      <c r="J232" s="388">
        <v>293008.72640000004</v>
      </c>
      <c r="K232" s="76">
        <f t="shared" si="246"/>
        <v>0.27042724698052134</v>
      </c>
      <c r="L232" s="69"/>
      <c r="M232" s="391">
        <v>21842000</v>
      </c>
      <c r="N232" s="388">
        <v>994267.5</v>
      </c>
      <c r="O232" s="138">
        <f t="shared" si="247"/>
        <v>701258.77359999996</v>
      </c>
      <c r="P232" s="76">
        <f>O232/N232</f>
        <v>0.70530191683827537</v>
      </c>
      <c r="Q232" s="76">
        <f t="shared" si="251"/>
        <v>0.29469808316172463</v>
      </c>
      <c r="R232" s="126">
        <f t="shared" si="248"/>
        <v>0</v>
      </c>
      <c r="S232" s="126">
        <f t="shared" si="252"/>
        <v>0.29469808316172463</v>
      </c>
      <c r="T232" s="126">
        <f t="shared" si="252"/>
        <v>-0.29469808316172463</v>
      </c>
      <c r="V232" s="2"/>
      <c r="W232" s="2"/>
      <c r="Y232" s="15"/>
      <c r="Z232" s="15"/>
      <c r="AA232" s="15"/>
    </row>
    <row r="233" spans="2:60">
      <c r="B233" s="69">
        <f t="shared" si="245"/>
        <v>0</v>
      </c>
      <c r="C233" s="69">
        <f t="shared" si="245"/>
        <v>15</v>
      </c>
      <c r="D233" s="69" t="str">
        <f t="shared" si="245"/>
        <v>WAPA</v>
      </c>
      <c r="E233" s="70">
        <v>2009</v>
      </c>
      <c r="F233" s="391">
        <v>9942</v>
      </c>
      <c r="G233" s="76">
        <f t="shared" si="249"/>
        <v>0.26411175686561966</v>
      </c>
      <c r="H233" s="138"/>
      <c r="I233" s="138"/>
      <c r="J233" s="388">
        <v>281179.9526125</v>
      </c>
      <c r="K233" s="76">
        <f t="shared" si="246"/>
        <v>0.26196065394169676</v>
      </c>
      <c r="L233" s="69"/>
      <c r="M233" s="391">
        <v>23002000</v>
      </c>
      <c r="N233" s="388">
        <v>1025475</v>
      </c>
      <c r="O233" s="138">
        <f t="shared" si="247"/>
        <v>744295.04738750006</v>
      </c>
      <c r="P233" s="76">
        <f>O233/N233</f>
        <v>0.72580516091323544</v>
      </c>
      <c r="Q233" s="76">
        <f t="shared" si="251"/>
        <v>0.27419483908676456</v>
      </c>
      <c r="R233" s="126">
        <f t="shared" si="248"/>
        <v>0</v>
      </c>
      <c r="S233" s="126">
        <f t="shared" si="252"/>
        <v>0.27419483908676456</v>
      </c>
      <c r="T233" s="126">
        <f t="shared" si="252"/>
        <v>-0.27419483908676456</v>
      </c>
      <c r="V233" s="2"/>
      <c r="W233" s="2"/>
      <c r="Y233" s="15"/>
      <c r="Z233" s="15"/>
      <c r="AA233" s="15"/>
    </row>
    <row r="234" spans="2:60">
      <c r="B234" s="69">
        <f t="shared" si="245"/>
        <v>0</v>
      </c>
      <c r="C234" s="69">
        <f t="shared" si="245"/>
        <v>15</v>
      </c>
      <c r="D234" s="69" t="str">
        <f t="shared" si="245"/>
        <v>WAPA</v>
      </c>
      <c r="E234" s="70">
        <v>2010</v>
      </c>
      <c r="F234" s="391">
        <v>9932</v>
      </c>
      <c r="G234" s="76">
        <f t="shared" si="249"/>
        <v>0.27767586712935632</v>
      </c>
      <c r="H234" s="138"/>
      <c r="I234" s="138"/>
      <c r="J234" s="388">
        <v>303650.60726249969</v>
      </c>
      <c r="K234" s="76">
        <f t="shared" si="246"/>
        <v>0.263408862845673</v>
      </c>
      <c r="L234" s="69"/>
      <c r="M234" s="391">
        <v>24159000</v>
      </c>
      <c r="N234" s="388">
        <v>1076720</v>
      </c>
      <c r="O234" s="138">
        <f t="shared" si="247"/>
        <v>773069.39273750037</v>
      </c>
      <c r="P234" s="76">
        <f t="shared" si="250"/>
        <v>0.71798554195844821</v>
      </c>
      <c r="Q234" s="76">
        <f t="shared" si="251"/>
        <v>0.28201445804155179</v>
      </c>
      <c r="R234" s="126">
        <f t="shared" si="248"/>
        <v>0</v>
      </c>
      <c r="S234" s="126">
        <f t="shared" si="252"/>
        <v>0.28201445804155179</v>
      </c>
      <c r="T234" s="126">
        <f t="shared" si="252"/>
        <v>-0.28201445804155179</v>
      </c>
      <c r="V234" s="2"/>
      <c r="W234" s="2"/>
      <c r="Y234" s="15"/>
      <c r="Z234" s="15"/>
      <c r="AA234" s="15"/>
    </row>
    <row r="235" spans="2:60">
      <c r="B235" s="69">
        <f t="shared" ref="B235:D238" si="253">B234</f>
        <v>0</v>
      </c>
      <c r="C235" s="69">
        <f t="shared" si="253"/>
        <v>15</v>
      </c>
      <c r="D235" s="69" t="str">
        <f t="shared" si="253"/>
        <v>WAPA</v>
      </c>
      <c r="E235" s="70">
        <v>2011</v>
      </c>
      <c r="F235" s="391">
        <v>9931</v>
      </c>
      <c r="G235" s="76">
        <f t="shared" si="249"/>
        <v>0.38109990900685048</v>
      </c>
      <c r="H235" s="138"/>
      <c r="I235" s="138"/>
      <c r="J235" s="388">
        <v>317460.10814999999</v>
      </c>
      <c r="K235" s="76">
        <f t="shared" si="246"/>
        <v>0.2759429462563523</v>
      </c>
      <c r="L235" s="69"/>
      <c r="M235" s="391">
        <v>33154000</v>
      </c>
      <c r="N235" s="388">
        <v>1175186.25</v>
      </c>
      <c r="O235" s="138">
        <f t="shared" si="247"/>
        <v>857726.14185000001</v>
      </c>
      <c r="P235" s="76">
        <f t="shared" si="250"/>
        <v>0.72986400398234752</v>
      </c>
      <c r="Q235" s="76">
        <f t="shared" si="251"/>
        <v>0.27013599601765248</v>
      </c>
      <c r="R235" s="126">
        <f t="shared" si="248"/>
        <v>0</v>
      </c>
      <c r="S235" s="126">
        <f t="shared" si="252"/>
        <v>0.27013599601765248</v>
      </c>
      <c r="T235" s="126">
        <f t="shared" si="252"/>
        <v>-0.27013599601765248</v>
      </c>
      <c r="V235" s="2"/>
      <c r="W235" s="2"/>
      <c r="Y235" s="15"/>
      <c r="Z235" s="15"/>
      <c r="AA235" s="15"/>
    </row>
    <row r="236" spans="2:60">
      <c r="B236" s="69">
        <f t="shared" si="253"/>
        <v>0</v>
      </c>
      <c r="C236" s="69">
        <f t="shared" si="253"/>
        <v>15</v>
      </c>
      <c r="D236" s="69" t="str">
        <f t="shared" si="253"/>
        <v>WAPA</v>
      </c>
      <c r="E236" s="70">
        <v>2012</v>
      </c>
      <c r="F236" s="391">
        <v>9931</v>
      </c>
      <c r="G236" s="76">
        <f t="shared" si="249"/>
        <v>0.33966101258501008</v>
      </c>
      <c r="H236" s="138"/>
      <c r="I236" s="138"/>
      <c r="J236" s="388">
        <v>346297.3609875</v>
      </c>
      <c r="K236" s="76">
        <f t="shared" si="246"/>
        <v>0.29178679398471835</v>
      </c>
      <c r="L236" s="69"/>
      <c r="M236" s="391">
        <v>29549000</v>
      </c>
      <c r="N236" s="388">
        <v>1095590</v>
      </c>
      <c r="O236" s="138">
        <f t="shared" si="247"/>
        <v>749292.63901249995</v>
      </c>
      <c r="P236" s="76">
        <f t="shared" si="250"/>
        <v>0.68391701184977949</v>
      </c>
      <c r="Q236" s="76">
        <f t="shared" si="251"/>
        <v>0.31608298815022051</v>
      </c>
      <c r="R236" s="126">
        <f t="shared" si="248"/>
        <v>0</v>
      </c>
      <c r="S236" s="126">
        <f t="shared" si="252"/>
        <v>0.31608298815022051</v>
      </c>
      <c r="T236" s="126">
        <f t="shared" si="252"/>
        <v>-0.31608298815022051</v>
      </c>
      <c r="V236" s="2"/>
      <c r="W236" s="2"/>
      <c r="Y236" s="15"/>
      <c r="Z236" s="15"/>
      <c r="AA236" s="15"/>
    </row>
    <row r="237" spans="2:60">
      <c r="B237" s="69">
        <f t="shared" si="253"/>
        <v>0</v>
      </c>
      <c r="C237" s="69">
        <f t="shared" si="253"/>
        <v>15</v>
      </c>
      <c r="D237" s="69" t="str">
        <f t="shared" si="253"/>
        <v>WAPA</v>
      </c>
      <c r="E237" s="70">
        <v>2013</v>
      </c>
      <c r="F237" s="391">
        <v>9931</v>
      </c>
      <c r="G237" s="76">
        <f t="shared" si="249"/>
        <v>0.28814114191574836</v>
      </c>
      <c r="H237" s="138"/>
      <c r="I237" s="138"/>
      <c r="J237" s="388">
        <v>323467.98750000005</v>
      </c>
      <c r="K237" s="76">
        <f t="shared" si="246"/>
        <v>0.27567573968221859</v>
      </c>
      <c r="L237" s="69"/>
      <c r="M237" s="391">
        <f>28822000-3755000</f>
        <v>25067000</v>
      </c>
      <c r="N237" s="388">
        <v>1098102.5</v>
      </c>
      <c r="O237" s="138">
        <f t="shared" si="247"/>
        <v>774634.51249999995</v>
      </c>
      <c r="P237" s="76">
        <f t="shared" si="250"/>
        <v>0.70543006003537911</v>
      </c>
      <c r="Q237" s="76">
        <f t="shared" si="251"/>
        <v>0.29456993996462089</v>
      </c>
      <c r="R237" s="126">
        <f t="shared" si="248"/>
        <v>0</v>
      </c>
      <c r="S237" s="126">
        <f t="shared" si="252"/>
        <v>0.29456993996462089</v>
      </c>
      <c r="T237" s="126">
        <f t="shared" si="252"/>
        <v>-0.29456993996462089</v>
      </c>
      <c r="V237" s="2"/>
      <c r="W237" s="2"/>
      <c r="Y237" s="15"/>
      <c r="Z237" s="15"/>
      <c r="AA237" s="15"/>
    </row>
    <row r="238" spans="2:60">
      <c r="B238" s="69">
        <f t="shared" si="253"/>
        <v>0</v>
      </c>
      <c r="C238" s="69">
        <f t="shared" si="253"/>
        <v>15</v>
      </c>
      <c r="D238" s="69" t="str">
        <f t="shared" si="253"/>
        <v>WAPA</v>
      </c>
      <c r="E238" s="70">
        <v>2014</v>
      </c>
      <c r="F238" s="391">
        <v>9931</v>
      </c>
      <c r="G238" s="76">
        <f t="shared" si="249"/>
        <v>0.28055661936080417</v>
      </c>
      <c r="H238" s="138"/>
      <c r="I238" s="138"/>
      <c r="J238" s="388">
        <v>328699.50104075042</v>
      </c>
      <c r="K238" s="76">
        <f t="shared" si="246"/>
        <v>0.27306985876118095</v>
      </c>
      <c r="L238" s="69"/>
      <c r="M238" s="391">
        <f>28607000-17283209*0.243</f>
        <v>24407180.213</v>
      </c>
      <c r="N238" s="388">
        <v>1106286.25</v>
      </c>
      <c r="O238" s="138">
        <f t="shared" si="247"/>
        <v>777586.74895924958</v>
      </c>
      <c r="P238" s="76">
        <f t="shared" si="250"/>
        <v>0.70288024366139379</v>
      </c>
      <c r="Q238" s="76">
        <f t="shared" si="251"/>
        <v>0.29711975633860621</v>
      </c>
      <c r="R238" s="126">
        <f t="shared" si="248"/>
        <v>0</v>
      </c>
      <c r="S238" s="126">
        <f t="shared" si="252"/>
        <v>0.29711975633860621</v>
      </c>
      <c r="T238" s="126">
        <f t="shared" si="252"/>
        <v>-0.29711975633860621</v>
      </c>
      <c r="V238" s="2"/>
      <c r="W238" s="2"/>
      <c r="Y238" s="15"/>
      <c r="Z238" s="15"/>
      <c r="AA238" s="15"/>
    </row>
    <row r="239" spans="2:60" s="241" customFormat="1">
      <c r="B239" s="72">
        <f>'OPG hydro peers'!B23</f>
        <v>1</v>
      </c>
      <c r="C239" s="72">
        <f t="shared" si="237"/>
        <v>16</v>
      </c>
      <c r="D239" s="72" t="str">
        <f>'OPG hydro peers'!D22</f>
        <v>Peer Industry</v>
      </c>
      <c r="E239" s="73">
        <v>2002</v>
      </c>
      <c r="F239" s="390">
        <f t="shared" ref="F239:F251" si="254">SUMIF($E$5:$E$238,E239,$F$5:$F$238)</f>
        <v>40990</v>
      </c>
      <c r="G239" s="75">
        <f t="shared" ref="G239:G251" si="255">M239/(F239*8760)</f>
        <v>0.264037214678711</v>
      </c>
      <c r="H239" s="127"/>
      <c r="I239" s="127"/>
      <c r="J239" s="74">
        <f t="shared" ref="J239:K251" si="256">SUMIF($E$5:$E$238,$E239,J$5:J$238)</f>
        <v>711765.42732499947</v>
      </c>
      <c r="K239" s="75">
        <f t="shared" si="256"/>
        <v>1</v>
      </c>
      <c r="L239" s="75"/>
      <c r="M239" s="127">
        <f t="shared" ref="M239:N251" si="257">SUMIF($E$5:$E$225,$E239,M$5:M$225)</f>
        <v>94808476.363999993</v>
      </c>
      <c r="N239" s="74">
        <f t="shared" si="257"/>
        <v>3632052.3804147649</v>
      </c>
      <c r="O239" s="127">
        <f>N239-J239</f>
        <v>2920286.9530897653</v>
      </c>
      <c r="P239" s="75">
        <f>O239/N239</f>
        <v>0.80403216892931506</v>
      </c>
      <c r="Q239" s="75">
        <f>1-P239</f>
        <v>0.19596783107068494</v>
      </c>
      <c r="R239" s="125">
        <f>Q239*L239</f>
        <v>0</v>
      </c>
      <c r="S239" s="125">
        <f>Q239-R239</f>
        <v>0.19596783107068494</v>
      </c>
      <c r="T239" s="125"/>
      <c r="U239" s="237"/>
      <c r="V239" s="239"/>
      <c r="W239" s="239"/>
      <c r="X239" s="239"/>
      <c r="Y239" s="240"/>
      <c r="Z239" s="240"/>
      <c r="AA239" s="240"/>
      <c r="AB239" s="240"/>
      <c r="AC239" s="240"/>
      <c r="AD239" s="240"/>
      <c r="AE239" s="240"/>
      <c r="AF239" s="240"/>
      <c r="AG239" s="240"/>
      <c r="AH239" s="240"/>
      <c r="AI239" s="240"/>
      <c r="AJ239" s="240"/>
      <c r="AK239" s="240"/>
      <c r="AL239" s="240"/>
      <c r="AM239" s="240"/>
      <c r="AN239" s="240"/>
      <c r="AO239" s="240"/>
      <c r="AP239" s="240"/>
      <c r="AQ239" s="240"/>
      <c r="AR239" s="240"/>
      <c r="AS239" s="240"/>
      <c r="AT239" s="240"/>
      <c r="AU239" s="240"/>
      <c r="AV239" s="240"/>
      <c r="AW239" s="240"/>
      <c r="AX239" s="240"/>
      <c r="AY239" s="240"/>
      <c r="AZ239" s="240"/>
      <c r="BA239" s="240"/>
      <c r="BB239" s="240"/>
      <c r="BC239" s="240"/>
      <c r="BD239" s="240"/>
      <c r="BE239" s="240"/>
      <c r="BF239" s="240"/>
      <c r="BG239" s="240"/>
      <c r="BH239" s="240"/>
    </row>
    <row r="240" spans="2:60" s="241" customFormat="1">
      <c r="B240" s="72">
        <f t="shared" ref="B240:B251" si="258">B239</f>
        <v>1</v>
      </c>
      <c r="C240" s="72">
        <f t="shared" si="237"/>
        <v>16</v>
      </c>
      <c r="D240" s="72" t="str">
        <f t="shared" ref="D240:D251" si="259">D239</f>
        <v>Peer Industry</v>
      </c>
      <c r="E240" s="73">
        <v>2003</v>
      </c>
      <c r="F240" s="390">
        <f t="shared" si="254"/>
        <v>41534.5</v>
      </c>
      <c r="G240" s="75">
        <f t="shared" si="255"/>
        <v>0.2905520280576564</v>
      </c>
      <c r="H240" s="127"/>
      <c r="I240" s="127"/>
      <c r="J240" s="74">
        <f t="shared" si="256"/>
        <v>796805.35261249996</v>
      </c>
      <c r="K240" s="75">
        <f t="shared" si="256"/>
        <v>1</v>
      </c>
      <c r="L240" s="75"/>
      <c r="M240" s="127">
        <f t="shared" si="257"/>
        <v>105715094.91399999</v>
      </c>
      <c r="N240" s="74">
        <f t="shared" si="257"/>
        <v>4627062.412334512</v>
      </c>
      <c r="O240" s="127">
        <f t="shared" ref="O240:O251" si="260">N240-J240</f>
        <v>3830257.0597220119</v>
      </c>
      <c r="P240" s="75">
        <f t="shared" ref="P240:P249" si="261">O240/N240</f>
        <v>0.82779455265430824</v>
      </c>
      <c r="Q240" s="75">
        <f t="shared" ref="Q240:Q249" si="262">1-P240</f>
        <v>0.17220544734569176</v>
      </c>
      <c r="R240" s="125">
        <f t="shared" ref="R240:R249" si="263">Q240*L240</f>
        <v>0</v>
      </c>
      <c r="S240" s="125">
        <f t="shared" ref="S240:S249" si="264">Q240-R240</f>
        <v>0.17220544734569176</v>
      </c>
      <c r="T240" s="125"/>
      <c r="U240" s="237"/>
      <c r="V240" s="239"/>
      <c r="W240" s="239"/>
      <c r="X240" s="239"/>
      <c r="Y240" s="240"/>
      <c r="Z240" s="240"/>
      <c r="AA240" s="240"/>
      <c r="AB240" s="240"/>
      <c r="AC240" s="240"/>
      <c r="AD240" s="240"/>
      <c r="AE240" s="240"/>
      <c r="AF240" s="240"/>
      <c r="AG240" s="240"/>
      <c r="AH240" s="240"/>
      <c r="AI240" s="240"/>
      <c r="AJ240" s="240"/>
      <c r="AK240" s="240"/>
      <c r="AL240" s="240"/>
      <c r="AM240" s="240"/>
      <c r="AN240" s="240"/>
      <c r="AO240" s="240"/>
      <c r="AP240" s="240"/>
      <c r="AQ240" s="240"/>
      <c r="AR240" s="240"/>
      <c r="AS240" s="240"/>
      <c r="AT240" s="240"/>
      <c r="AU240" s="240"/>
      <c r="AV240" s="240"/>
      <c r="AW240" s="240"/>
      <c r="AX240" s="240"/>
      <c r="AY240" s="240"/>
      <c r="AZ240" s="240"/>
      <c r="BA240" s="240"/>
      <c r="BB240" s="240"/>
      <c r="BC240" s="240"/>
      <c r="BD240" s="240"/>
      <c r="BE240" s="240"/>
      <c r="BF240" s="240"/>
      <c r="BG240" s="240"/>
      <c r="BH240" s="240"/>
    </row>
    <row r="241" spans="2:60" s="241" customFormat="1">
      <c r="B241" s="72">
        <f t="shared" si="258"/>
        <v>1</v>
      </c>
      <c r="C241" s="72">
        <f t="shared" si="237"/>
        <v>16</v>
      </c>
      <c r="D241" s="72" t="str">
        <f t="shared" si="259"/>
        <v>Peer Industry</v>
      </c>
      <c r="E241" s="73">
        <v>2004</v>
      </c>
      <c r="F241" s="390">
        <f t="shared" si="254"/>
        <v>41558.519999999997</v>
      </c>
      <c r="G241" s="75">
        <f t="shared" si="255"/>
        <v>0.27807228794920147</v>
      </c>
      <c r="H241" s="127"/>
      <c r="I241" s="127"/>
      <c r="J241" s="74">
        <f t="shared" si="256"/>
        <v>821320.0541899997</v>
      </c>
      <c r="K241" s="75">
        <f t="shared" si="256"/>
        <v>1</v>
      </c>
      <c r="L241" s="75"/>
      <c r="M241" s="127">
        <f t="shared" si="257"/>
        <v>101232949.204</v>
      </c>
      <c r="N241" s="74">
        <f t="shared" si="257"/>
        <v>4478642.333154751</v>
      </c>
      <c r="O241" s="127">
        <f t="shared" si="260"/>
        <v>3657322.2789647514</v>
      </c>
      <c r="P241" s="75">
        <f t="shared" si="261"/>
        <v>0.81661405553422195</v>
      </c>
      <c r="Q241" s="75">
        <f t="shared" si="262"/>
        <v>0.18338594446577805</v>
      </c>
      <c r="R241" s="125">
        <f t="shared" si="263"/>
        <v>0</v>
      </c>
      <c r="S241" s="125">
        <f t="shared" si="264"/>
        <v>0.18338594446577805</v>
      </c>
      <c r="T241" s="125"/>
      <c r="U241" s="237"/>
      <c r="V241" s="239"/>
      <c r="W241" s="239"/>
      <c r="X241" s="239"/>
      <c r="Y241" s="240"/>
      <c r="Z241" s="240"/>
      <c r="AA241" s="240"/>
      <c r="AB241" s="240"/>
      <c r="AC241" s="240"/>
      <c r="AD241" s="240"/>
      <c r="AE241" s="240"/>
      <c r="AF241" s="240"/>
      <c r="AG241" s="240"/>
      <c r="AH241" s="240"/>
      <c r="AI241" s="240"/>
      <c r="AJ241" s="240"/>
      <c r="AK241" s="240"/>
      <c r="AL241" s="240"/>
      <c r="AM241" s="240"/>
      <c r="AN241" s="240"/>
      <c r="AO241" s="240"/>
      <c r="AP241" s="240"/>
      <c r="AQ241" s="240"/>
      <c r="AR241" s="240"/>
      <c r="AS241" s="240"/>
      <c r="AT241" s="240"/>
      <c r="AU241" s="240"/>
      <c r="AV241" s="240"/>
      <c r="AW241" s="240"/>
      <c r="AX241" s="240"/>
      <c r="AY241" s="240"/>
      <c r="AZ241" s="240"/>
      <c r="BA241" s="240"/>
      <c r="BB241" s="240"/>
      <c r="BC241" s="240"/>
      <c r="BD241" s="240"/>
      <c r="BE241" s="240"/>
      <c r="BF241" s="240"/>
      <c r="BG241" s="240"/>
      <c r="BH241" s="240"/>
    </row>
    <row r="242" spans="2:60" s="241" customFormat="1">
      <c r="B242" s="72">
        <f t="shared" si="258"/>
        <v>1</v>
      </c>
      <c r="C242" s="72">
        <f t="shared" si="237"/>
        <v>16</v>
      </c>
      <c r="D242" s="72" t="str">
        <f t="shared" si="259"/>
        <v>Peer Industry</v>
      </c>
      <c r="E242" s="73">
        <v>2005</v>
      </c>
      <c r="F242" s="390">
        <f t="shared" si="254"/>
        <v>41609.42</v>
      </c>
      <c r="G242" s="75">
        <f t="shared" si="255"/>
        <v>0.28231429451853862</v>
      </c>
      <c r="H242" s="127"/>
      <c r="I242" s="127"/>
      <c r="J242" s="74">
        <f t="shared" si="256"/>
        <v>867346.34293499973</v>
      </c>
      <c r="K242" s="75">
        <f t="shared" si="256"/>
        <v>1</v>
      </c>
      <c r="L242" s="75"/>
      <c r="M242" s="127">
        <f t="shared" si="257"/>
        <v>102903142.301</v>
      </c>
      <c r="N242" s="74">
        <f t="shared" si="257"/>
        <v>5536186.7794927806</v>
      </c>
      <c r="O242" s="127">
        <f t="shared" si="260"/>
        <v>4668840.436557781</v>
      </c>
      <c r="P242" s="75">
        <f t="shared" si="261"/>
        <v>0.84333145222848405</v>
      </c>
      <c r="Q242" s="75">
        <f t="shared" si="262"/>
        <v>0.15666854777151595</v>
      </c>
      <c r="R242" s="125">
        <f t="shared" si="263"/>
        <v>0</v>
      </c>
      <c r="S242" s="125">
        <f t="shared" si="264"/>
        <v>0.15666854777151595</v>
      </c>
      <c r="T242" s="125"/>
      <c r="U242" s="237"/>
      <c r="V242" s="239"/>
      <c r="W242" s="239"/>
      <c r="X242" s="239"/>
      <c r="Y242" s="240"/>
      <c r="Z242" s="240"/>
      <c r="AA242" s="240"/>
      <c r="AB242" s="240"/>
      <c r="AC242" s="240"/>
      <c r="AD242" s="240"/>
      <c r="AE242" s="240"/>
      <c r="AF242" s="240"/>
      <c r="AG242" s="240"/>
      <c r="AH242" s="240"/>
      <c r="AI242" s="240"/>
      <c r="AJ242" s="240"/>
      <c r="AK242" s="240"/>
      <c r="AL242" s="240"/>
      <c r="AM242" s="240"/>
      <c r="AN242" s="240"/>
      <c r="AO242" s="240"/>
      <c r="AP242" s="240"/>
      <c r="AQ242" s="240"/>
      <c r="AR242" s="240"/>
      <c r="AS242" s="240"/>
      <c r="AT242" s="240"/>
      <c r="AU242" s="240"/>
      <c r="AV242" s="240"/>
      <c r="AW242" s="240"/>
      <c r="AX242" s="240"/>
      <c r="AY242" s="240"/>
      <c r="AZ242" s="240"/>
      <c r="BA242" s="240"/>
      <c r="BB242" s="240"/>
      <c r="BC242" s="240"/>
      <c r="BD242" s="240"/>
      <c r="BE242" s="240"/>
      <c r="BF242" s="240"/>
      <c r="BG242" s="240"/>
      <c r="BH242" s="240"/>
    </row>
    <row r="243" spans="2:60" s="241" customFormat="1">
      <c r="B243" s="72">
        <f t="shared" si="258"/>
        <v>1</v>
      </c>
      <c r="C243" s="72">
        <f t="shared" si="237"/>
        <v>16</v>
      </c>
      <c r="D243" s="72" t="str">
        <f t="shared" si="259"/>
        <v>Peer Industry</v>
      </c>
      <c r="E243" s="73">
        <v>2006</v>
      </c>
      <c r="F243" s="390">
        <f t="shared" si="254"/>
        <v>41735.299999999996</v>
      </c>
      <c r="G243" s="75">
        <f t="shared" si="255"/>
        <v>0.28478337173418911</v>
      </c>
      <c r="H243" s="127"/>
      <c r="I243" s="127"/>
      <c r="J243" s="74">
        <f t="shared" si="256"/>
        <v>913380.07926500042</v>
      </c>
      <c r="K243" s="75">
        <f t="shared" si="256"/>
        <v>1</v>
      </c>
      <c r="L243" s="75"/>
      <c r="M243" s="127">
        <f t="shared" si="257"/>
        <v>104117150.42</v>
      </c>
      <c r="N243" s="74">
        <f t="shared" si="257"/>
        <v>4707061.7387356013</v>
      </c>
      <c r="O243" s="127">
        <f t="shared" si="260"/>
        <v>3793681.659470601</v>
      </c>
      <c r="P243" s="75">
        <f t="shared" si="261"/>
        <v>0.80595536452208294</v>
      </c>
      <c r="Q243" s="75">
        <f t="shared" si="262"/>
        <v>0.19404463547791706</v>
      </c>
      <c r="R243" s="125">
        <f t="shared" si="263"/>
        <v>0</v>
      </c>
      <c r="S243" s="125">
        <f t="shared" si="264"/>
        <v>0.19404463547791706</v>
      </c>
      <c r="T243" s="125"/>
      <c r="U243" s="237"/>
      <c r="V243" s="239"/>
      <c r="W243" s="239"/>
      <c r="X243" s="239"/>
      <c r="Y243" s="240"/>
      <c r="Z243" s="240"/>
      <c r="AA243" s="240"/>
      <c r="AB243" s="240"/>
      <c r="AC243" s="240"/>
      <c r="AD243" s="240"/>
      <c r="AE243" s="240"/>
      <c r="AF243" s="240"/>
      <c r="AG243" s="240"/>
      <c r="AH243" s="240"/>
      <c r="AI243" s="240"/>
      <c r="AJ243" s="240"/>
      <c r="AK243" s="240"/>
      <c r="AL243" s="240"/>
      <c r="AM243" s="240"/>
      <c r="AN243" s="240"/>
      <c r="AO243" s="240"/>
      <c r="AP243" s="240"/>
      <c r="AQ243" s="240"/>
      <c r="AR243" s="240"/>
      <c r="AS243" s="240"/>
      <c r="AT243" s="240"/>
      <c r="AU243" s="240"/>
      <c r="AV243" s="240"/>
      <c r="AW243" s="240"/>
      <c r="AX243" s="240"/>
      <c r="AY243" s="240"/>
      <c r="AZ243" s="240"/>
      <c r="BA243" s="240"/>
      <c r="BB243" s="240"/>
      <c r="BC243" s="240"/>
      <c r="BD243" s="240"/>
      <c r="BE243" s="240"/>
      <c r="BF243" s="240"/>
      <c r="BG243" s="240"/>
      <c r="BH243" s="240"/>
    </row>
    <row r="244" spans="2:60" s="241" customFormat="1">
      <c r="B244" s="72">
        <f t="shared" si="258"/>
        <v>1</v>
      </c>
      <c r="C244" s="72">
        <f t="shared" si="237"/>
        <v>16</v>
      </c>
      <c r="D244" s="72" t="str">
        <f t="shared" si="259"/>
        <v>Peer Industry</v>
      </c>
      <c r="E244" s="73">
        <v>2007</v>
      </c>
      <c r="F244" s="390">
        <f t="shared" si="254"/>
        <v>41166.099999999991</v>
      </c>
      <c r="G244" s="75">
        <f t="shared" si="255"/>
        <v>0.24071816108355509</v>
      </c>
      <c r="H244" s="127"/>
      <c r="I244" s="127"/>
      <c r="J244" s="74">
        <f t="shared" si="256"/>
        <v>994736.20452249993</v>
      </c>
      <c r="K244" s="75">
        <f t="shared" si="256"/>
        <v>0.99999999999999989</v>
      </c>
      <c r="L244" s="75"/>
      <c r="M244" s="127">
        <f t="shared" si="257"/>
        <v>86806588.325000003</v>
      </c>
      <c r="N244" s="74">
        <f t="shared" si="257"/>
        <v>4168708.6288428507</v>
      </c>
      <c r="O244" s="127">
        <f t="shared" si="260"/>
        <v>3173972.4243203509</v>
      </c>
      <c r="P244" s="75">
        <f t="shared" si="261"/>
        <v>0.76138025151481536</v>
      </c>
      <c r="Q244" s="75">
        <f t="shared" si="262"/>
        <v>0.23861974848518464</v>
      </c>
      <c r="R244" s="125">
        <f t="shared" si="263"/>
        <v>0</v>
      </c>
      <c r="S244" s="125">
        <f t="shared" si="264"/>
        <v>0.23861974848518464</v>
      </c>
      <c r="T244" s="125"/>
      <c r="U244" s="237"/>
      <c r="V244" s="239"/>
      <c r="W244" s="239"/>
      <c r="X244" s="239"/>
      <c r="Y244" s="240"/>
      <c r="Z244" s="240"/>
      <c r="AA244" s="240"/>
      <c r="AB244" s="240"/>
      <c r="AC244" s="240"/>
      <c r="AD244" s="240"/>
      <c r="AE244" s="240"/>
      <c r="AF244" s="240"/>
      <c r="AG244" s="240"/>
      <c r="AH244" s="240"/>
      <c r="AI244" s="240"/>
      <c r="AJ244" s="240"/>
      <c r="AK244" s="240"/>
      <c r="AL244" s="240"/>
      <c r="AM244" s="240"/>
      <c r="AN244" s="240"/>
      <c r="AO244" s="240"/>
      <c r="AP244" s="240"/>
      <c r="AQ244" s="240"/>
      <c r="AR244" s="240"/>
      <c r="AS244" s="240"/>
      <c r="AT244" s="240"/>
      <c r="AU244" s="240"/>
      <c r="AV244" s="240"/>
      <c r="AW244" s="240"/>
      <c r="AX244" s="240"/>
      <c r="AY244" s="240"/>
      <c r="AZ244" s="240"/>
      <c r="BA244" s="240"/>
      <c r="BB244" s="240"/>
      <c r="BC244" s="240"/>
      <c r="BD244" s="240"/>
      <c r="BE244" s="240"/>
      <c r="BF244" s="240"/>
      <c r="BG244" s="240"/>
      <c r="BH244" s="240"/>
    </row>
    <row r="245" spans="2:60" s="241" customFormat="1">
      <c r="B245" s="72">
        <f t="shared" si="258"/>
        <v>1</v>
      </c>
      <c r="C245" s="72">
        <f t="shared" si="237"/>
        <v>16</v>
      </c>
      <c r="D245" s="72" t="str">
        <f t="shared" si="259"/>
        <v>Peer Industry</v>
      </c>
      <c r="E245" s="73">
        <v>2008</v>
      </c>
      <c r="F245" s="390">
        <f t="shared" si="254"/>
        <v>41525.199999999997</v>
      </c>
      <c r="G245" s="75">
        <f t="shared" si="255"/>
        <v>0.25144729782447778</v>
      </c>
      <c r="H245" s="127"/>
      <c r="I245" s="127"/>
      <c r="J245" s="74">
        <f t="shared" si="256"/>
        <v>1083502.9741700001</v>
      </c>
      <c r="K245" s="75">
        <f t="shared" si="256"/>
        <v>1.0000000000000002</v>
      </c>
      <c r="L245" s="75"/>
      <c r="M245" s="127">
        <f t="shared" si="257"/>
        <v>91466658.144999996</v>
      </c>
      <c r="N245" s="74">
        <f t="shared" si="257"/>
        <v>5126422.837173244</v>
      </c>
      <c r="O245" s="127">
        <f t="shared" si="260"/>
        <v>4042919.8630032437</v>
      </c>
      <c r="P245" s="75">
        <f t="shared" si="261"/>
        <v>0.78864346375933092</v>
      </c>
      <c r="Q245" s="75">
        <f t="shared" si="262"/>
        <v>0.21135653624066908</v>
      </c>
      <c r="R245" s="125">
        <f t="shared" si="263"/>
        <v>0</v>
      </c>
      <c r="S245" s="125">
        <f t="shared" si="264"/>
        <v>0.21135653624066908</v>
      </c>
      <c r="T245" s="125"/>
      <c r="U245" s="237"/>
      <c r="V245" s="239"/>
      <c r="W245" s="239"/>
      <c r="X245" s="239"/>
      <c r="Y245" s="240"/>
      <c r="Z245" s="240"/>
      <c r="AA245" s="240"/>
      <c r="AB245" s="240"/>
      <c r="AC245" s="240"/>
      <c r="AD245" s="240"/>
      <c r="AE245" s="240"/>
      <c r="AF245" s="240"/>
      <c r="AG245" s="240"/>
      <c r="AH245" s="240"/>
      <c r="AI245" s="240"/>
      <c r="AJ245" s="240"/>
      <c r="AK245" s="240"/>
      <c r="AL245" s="240"/>
      <c r="AM245" s="240"/>
      <c r="AN245" s="240"/>
      <c r="AO245" s="240"/>
      <c r="AP245" s="240"/>
      <c r="AQ245" s="240"/>
      <c r="AR245" s="240"/>
      <c r="AS245" s="240"/>
      <c r="AT245" s="240"/>
      <c r="AU245" s="240"/>
      <c r="AV245" s="240"/>
      <c r="AW245" s="240"/>
      <c r="AX245" s="240"/>
      <c r="AY245" s="240"/>
      <c r="AZ245" s="240"/>
      <c r="BA245" s="240"/>
      <c r="BB245" s="240"/>
      <c r="BC245" s="240"/>
      <c r="BD245" s="240"/>
      <c r="BE245" s="240"/>
      <c r="BF245" s="240"/>
      <c r="BG245" s="240"/>
      <c r="BH245" s="240"/>
    </row>
    <row r="246" spans="2:60" s="241" customFormat="1">
      <c r="B246" s="72">
        <f t="shared" si="258"/>
        <v>1</v>
      </c>
      <c r="C246" s="72">
        <f t="shared" si="237"/>
        <v>16</v>
      </c>
      <c r="D246" s="72" t="str">
        <f t="shared" si="259"/>
        <v>Peer Industry</v>
      </c>
      <c r="E246" s="73">
        <v>2009</v>
      </c>
      <c r="F246" s="390">
        <f t="shared" si="254"/>
        <v>41535.572999999989</v>
      </c>
      <c r="G246" s="75">
        <f t="shared" si="255"/>
        <v>0.27842194432109285</v>
      </c>
      <c r="H246" s="127"/>
      <c r="I246" s="127"/>
      <c r="J246" s="74">
        <f t="shared" si="256"/>
        <v>1073367.1197624998</v>
      </c>
      <c r="K246" s="75">
        <f t="shared" si="256"/>
        <v>1</v>
      </c>
      <c r="L246" s="75"/>
      <c r="M246" s="127">
        <f t="shared" si="257"/>
        <v>101304275.34</v>
      </c>
      <c r="N246" s="74">
        <f t="shared" si="257"/>
        <v>3609410.2885629353</v>
      </c>
      <c r="O246" s="127">
        <f t="shared" si="260"/>
        <v>2536043.1688004355</v>
      </c>
      <c r="P246" s="75">
        <f t="shared" si="261"/>
        <v>0.7026198093456828</v>
      </c>
      <c r="Q246" s="75">
        <f t="shared" si="262"/>
        <v>0.2973801906543172</v>
      </c>
      <c r="R246" s="125">
        <f t="shared" si="263"/>
        <v>0</v>
      </c>
      <c r="S246" s="125">
        <f t="shared" si="264"/>
        <v>0.2973801906543172</v>
      </c>
      <c r="T246" s="125"/>
      <c r="U246" s="237"/>
      <c r="V246" s="239"/>
      <c r="W246" s="239"/>
      <c r="X246" s="239"/>
      <c r="Y246" s="240"/>
      <c r="Z246" s="240"/>
      <c r="AA246" s="240"/>
      <c r="AB246" s="240"/>
      <c r="AC246" s="240"/>
      <c r="AD246" s="240"/>
      <c r="AE246" s="240"/>
      <c r="AF246" s="240"/>
      <c r="AG246" s="240"/>
      <c r="AH246" s="240"/>
      <c r="AI246" s="240"/>
      <c r="AJ246" s="240"/>
      <c r="AK246" s="240"/>
      <c r="AL246" s="240"/>
      <c r="AM246" s="240"/>
      <c r="AN246" s="240"/>
      <c r="AO246" s="240"/>
      <c r="AP246" s="240"/>
      <c r="AQ246" s="240"/>
      <c r="AR246" s="240"/>
      <c r="AS246" s="240"/>
      <c r="AT246" s="240"/>
      <c r="AU246" s="240"/>
      <c r="AV246" s="240"/>
      <c r="AW246" s="240"/>
      <c r="AX246" s="240"/>
      <c r="AY246" s="240"/>
      <c r="AZ246" s="240"/>
      <c r="BA246" s="240"/>
      <c r="BB246" s="240"/>
      <c r="BC246" s="240"/>
      <c r="BD246" s="240"/>
      <c r="BE246" s="240"/>
      <c r="BF246" s="240"/>
      <c r="BG246" s="240"/>
      <c r="BH246" s="240"/>
    </row>
    <row r="247" spans="2:60" s="241" customFormat="1">
      <c r="B247" s="72">
        <f t="shared" si="258"/>
        <v>1</v>
      </c>
      <c r="C247" s="72">
        <f t="shared" si="237"/>
        <v>16</v>
      </c>
      <c r="D247" s="72" t="str">
        <f t="shared" si="259"/>
        <v>Peer Industry</v>
      </c>
      <c r="E247" s="73">
        <v>2010</v>
      </c>
      <c r="F247" s="390">
        <f t="shared" si="254"/>
        <v>41530.119999999995</v>
      </c>
      <c r="G247" s="75">
        <f t="shared" si="255"/>
        <v>0.26542877941364684</v>
      </c>
      <c r="H247" s="127"/>
      <c r="I247" s="127"/>
      <c r="J247" s="74">
        <f t="shared" si="256"/>
        <v>1152772.932474955</v>
      </c>
      <c r="K247" s="75">
        <f t="shared" si="256"/>
        <v>0.99999999999999989</v>
      </c>
      <c r="L247" s="75"/>
      <c r="M247" s="127">
        <f t="shared" si="257"/>
        <v>96564012.170000002</v>
      </c>
      <c r="N247" s="74">
        <f t="shared" si="257"/>
        <v>3518184.0287047201</v>
      </c>
      <c r="O247" s="127">
        <f t="shared" si="260"/>
        <v>2365411.0962297651</v>
      </c>
      <c r="P247" s="75">
        <f t="shared" si="261"/>
        <v>0.67233864883999028</v>
      </c>
      <c r="Q247" s="75">
        <f t="shared" si="262"/>
        <v>0.32766135116000972</v>
      </c>
      <c r="R247" s="125">
        <f t="shared" si="263"/>
        <v>0</v>
      </c>
      <c r="S247" s="125">
        <f t="shared" si="264"/>
        <v>0.32766135116000972</v>
      </c>
      <c r="T247" s="125"/>
      <c r="U247" s="237"/>
      <c r="V247" s="239"/>
      <c r="W247" s="239"/>
      <c r="X247" s="239"/>
      <c r="Y247" s="240"/>
      <c r="Z247" s="240"/>
      <c r="AA247" s="240"/>
      <c r="AB247" s="240"/>
      <c r="AC247" s="240"/>
      <c r="AD247" s="240"/>
      <c r="AE247" s="240"/>
      <c r="AF247" s="240"/>
      <c r="AG247" s="240"/>
      <c r="AH247" s="240"/>
      <c r="AI247" s="240"/>
      <c r="AJ247" s="240"/>
      <c r="AK247" s="240"/>
      <c r="AL247" s="240"/>
      <c r="AM247" s="240"/>
      <c r="AN247" s="240"/>
      <c r="AO247" s="240"/>
      <c r="AP247" s="240"/>
      <c r="AQ247" s="240"/>
      <c r="AR247" s="240"/>
      <c r="AS247" s="240"/>
      <c r="AT247" s="240"/>
      <c r="AU247" s="240"/>
      <c r="AV247" s="240"/>
      <c r="AW247" s="240"/>
      <c r="AX247" s="240"/>
      <c r="AY247" s="240"/>
      <c r="AZ247" s="240"/>
      <c r="BA247" s="240"/>
      <c r="BB247" s="240"/>
      <c r="BC247" s="240"/>
      <c r="BD247" s="240"/>
      <c r="BE247" s="240"/>
      <c r="BF247" s="240"/>
      <c r="BG247" s="240"/>
      <c r="BH247" s="240"/>
    </row>
    <row r="248" spans="2:60" s="241" customFormat="1">
      <c r="B248" s="72">
        <f t="shared" si="258"/>
        <v>1</v>
      </c>
      <c r="C248" s="72">
        <f t="shared" si="237"/>
        <v>16</v>
      </c>
      <c r="D248" s="72" t="str">
        <f t="shared" si="259"/>
        <v>Peer Industry</v>
      </c>
      <c r="E248" s="73">
        <v>2011</v>
      </c>
      <c r="F248" s="390">
        <f t="shared" si="254"/>
        <v>41202.149999999994</v>
      </c>
      <c r="G248" s="75">
        <f t="shared" si="255"/>
        <v>0.28197395665564007</v>
      </c>
      <c r="H248" s="127"/>
      <c r="I248" s="127"/>
      <c r="J248" s="74">
        <f t="shared" si="256"/>
        <v>1150455.601264321</v>
      </c>
      <c r="K248" s="75">
        <f t="shared" si="256"/>
        <v>1.0000000000000004</v>
      </c>
      <c r="L248" s="75"/>
      <c r="M248" s="127">
        <f t="shared" si="257"/>
        <v>101773095.34200001</v>
      </c>
      <c r="N248" s="74">
        <f t="shared" si="257"/>
        <v>3418819.0889658812</v>
      </c>
      <c r="O248" s="127">
        <f t="shared" si="260"/>
        <v>2268363.4877015604</v>
      </c>
      <c r="P248" s="75">
        <f t="shared" si="261"/>
        <v>0.66349327901632005</v>
      </c>
      <c r="Q248" s="75">
        <f t="shared" si="262"/>
        <v>0.33650672098367995</v>
      </c>
      <c r="R248" s="125">
        <f t="shared" si="263"/>
        <v>0</v>
      </c>
      <c r="S248" s="125">
        <f t="shared" si="264"/>
        <v>0.33650672098367995</v>
      </c>
      <c r="T248" s="125"/>
      <c r="U248" s="237"/>
      <c r="V248" s="239"/>
      <c r="W248" s="239"/>
      <c r="X248" s="239"/>
      <c r="Y248" s="240"/>
      <c r="Z248" s="240"/>
      <c r="AA248" s="240"/>
      <c r="AB248" s="240"/>
      <c r="AC248" s="240"/>
      <c r="AD248" s="240"/>
      <c r="AE248" s="240"/>
      <c r="AF248" s="240"/>
      <c r="AG248" s="240"/>
      <c r="AH248" s="240"/>
      <c r="AI248" s="240"/>
      <c r="AJ248" s="240"/>
      <c r="AK248" s="240"/>
      <c r="AL248" s="240"/>
      <c r="AM248" s="240"/>
      <c r="AN248" s="240"/>
      <c r="AO248" s="240"/>
      <c r="AP248" s="240"/>
      <c r="AQ248" s="240"/>
      <c r="AR248" s="240"/>
      <c r="AS248" s="240"/>
      <c r="AT248" s="240"/>
      <c r="AU248" s="240"/>
      <c r="AV248" s="240"/>
      <c r="AW248" s="240"/>
      <c r="AX248" s="240"/>
      <c r="AY248" s="240"/>
      <c r="AZ248" s="240"/>
      <c r="BA248" s="240"/>
      <c r="BB248" s="240"/>
      <c r="BC248" s="240"/>
      <c r="BD248" s="240"/>
      <c r="BE248" s="240"/>
      <c r="BF248" s="240"/>
      <c r="BG248" s="240"/>
      <c r="BH248" s="240"/>
    </row>
    <row r="249" spans="2:60" s="241" customFormat="1">
      <c r="B249" s="72">
        <f t="shared" si="258"/>
        <v>1</v>
      </c>
      <c r="C249" s="72">
        <f t="shared" si="237"/>
        <v>16</v>
      </c>
      <c r="D249" s="72" t="str">
        <f t="shared" si="259"/>
        <v>Peer Industry</v>
      </c>
      <c r="E249" s="73">
        <v>2012</v>
      </c>
      <c r="F249" s="390">
        <f t="shared" si="254"/>
        <v>41246.36</v>
      </c>
      <c r="G249" s="75">
        <f t="shared" si="255"/>
        <v>0.24384963307026405</v>
      </c>
      <c r="H249" s="127"/>
      <c r="I249" s="127"/>
      <c r="J249" s="74">
        <f t="shared" si="256"/>
        <v>1186816.4294153645</v>
      </c>
      <c r="K249" s="75">
        <f t="shared" si="256"/>
        <v>1</v>
      </c>
      <c r="L249" s="75"/>
      <c r="M249" s="127">
        <f t="shared" si="257"/>
        <v>88107289.422999993</v>
      </c>
      <c r="N249" s="74">
        <f t="shared" si="257"/>
        <v>2529004.0543560535</v>
      </c>
      <c r="O249" s="127">
        <f t="shared" si="260"/>
        <v>1342187.624940689</v>
      </c>
      <c r="P249" s="75">
        <f t="shared" si="261"/>
        <v>0.53071786208837968</v>
      </c>
      <c r="Q249" s="75">
        <f t="shared" si="262"/>
        <v>0.46928213791162032</v>
      </c>
      <c r="R249" s="125">
        <f t="shared" si="263"/>
        <v>0</v>
      </c>
      <c r="S249" s="125">
        <f t="shared" si="264"/>
        <v>0.46928213791162032</v>
      </c>
      <c r="T249" s="125"/>
      <c r="U249" s="237"/>
      <c r="V249" s="239"/>
      <c r="W249" s="239"/>
      <c r="X249" s="239"/>
      <c r="Y249" s="240"/>
      <c r="Z249" s="240"/>
      <c r="AA249" s="240"/>
      <c r="AB249" s="240"/>
      <c r="AC249" s="240"/>
      <c r="AD249" s="240"/>
      <c r="AE249" s="240"/>
      <c r="AF249" s="240"/>
      <c r="AG249" s="240"/>
      <c r="AH249" s="240"/>
      <c r="AI249" s="240"/>
      <c r="AJ249" s="240"/>
      <c r="AK249" s="240"/>
      <c r="AL249" s="240"/>
      <c r="AM249" s="240"/>
      <c r="AN249" s="240"/>
      <c r="AO249" s="240"/>
      <c r="AP249" s="240"/>
      <c r="AQ249" s="240"/>
      <c r="AR249" s="240"/>
      <c r="AS249" s="240"/>
      <c r="AT249" s="240"/>
      <c r="AU249" s="240"/>
      <c r="AV249" s="240"/>
      <c r="AW249" s="240"/>
      <c r="AX249" s="240"/>
      <c r="AY249" s="240"/>
      <c r="AZ249" s="240"/>
      <c r="BA249" s="240"/>
      <c r="BB249" s="240"/>
      <c r="BC249" s="240"/>
      <c r="BD249" s="240"/>
      <c r="BE249" s="240"/>
      <c r="BF249" s="240"/>
      <c r="BG249" s="240"/>
      <c r="BH249" s="240"/>
    </row>
    <row r="250" spans="2:60" s="241" customFormat="1">
      <c r="B250" s="72">
        <f t="shared" si="258"/>
        <v>1</v>
      </c>
      <c r="C250" s="72">
        <f t="shared" si="237"/>
        <v>16</v>
      </c>
      <c r="D250" s="72" t="str">
        <f t="shared" si="259"/>
        <v>Peer Industry</v>
      </c>
      <c r="E250" s="73">
        <v>2013</v>
      </c>
      <c r="F250" s="390">
        <f t="shared" si="254"/>
        <v>41109.65</v>
      </c>
      <c r="G250" s="75">
        <f t="shared" si="255"/>
        <v>0.24969202498183568</v>
      </c>
      <c r="H250" s="127"/>
      <c r="I250" s="127"/>
      <c r="J250" s="74">
        <f t="shared" si="256"/>
        <v>1173363.9959500001</v>
      </c>
      <c r="K250" s="75">
        <f t="shared" si="256"/>
        <v>1</v>
      </c>
      <c r="L250" s="72"/>
      <c r="M250" s="127">
        <f t="shared" si="257"/>
        <v>89919225.372000009</v>
      </c>
      <c r="N250" s="74">
        <f t="shared" si="257"/>
        <v>3371173.7364169005</v>
      </c>
      <c r="O250" s="127">
        <f t="shared" si="260"/>
        <v>2197809.7404669002</v>
      </c>
      <c r="P250" s="75">
        <f t="shared" ref="P250:P251" si="265">O250/N250</f>
        <v>0.65194199774553097</v>
      </c>
      <c r="Q250" s="75">
        <f t="shared" ref="Q250:Q251" si="266">1-P250</f>
        <v>0.34805800225446903</v>
      </c>
      <c r="R250" s="125">
        <f t="shared" ref="R250:R251" si="267">Q250*L250</f>
        <v>0</v>
      </c>
      <c r="S250" s="125">
        <f t="shared" ref="S250:S251" si="268">Q250-R250</f>
        <v>0.34805800225446903</v>
      </c>
      <c r="T250" s="75"/>
      <c r="U250" s="237"/>
      <c r="V250" s="239"/>
      <c r="W250" s="239"/>
      <c r="X250" s="239"/>
      <c r="Y250" s="240"/>
      <c r="Z250" s="240"/>
      <c r="AA250" s="240"/>
      <c r="AB250" s="240"/>
      <c r="AC250" s="240"/>
      <c r="AD250" s="240"/>
      <c r="AE250" s="240"/>
      <c r="AF250" s="240"/>
      <c r="AG250" s="240"/>
      <c r="AH250" s="240"/>
      <c r="AI250" s="240"/>
      <c r="AJ250" s="240"/>
      <c r="AK250" s="240"/>
      <c r="AL250" s="240"/>
      <c r="AM250" s="240"/>
      <c r="AN250" s="240"/>
      <c r="AO250" s="240"/>
      <c r="AP250" s="240"/>
      <c r="AQ250" s="240"/>
      <c r="AR250" s="240"/>
      <c r="AS250" s="240"/>
      <c r="AT250" s="240"/>
      <c r="AU250" s="240"/>
      <c r="AV250" s="240"/>
      <c r="AW250" s="240"/>
      <c r="AX250" s="240"/>
      <c r="AY250" s="240"/>
      <c r="AZ250" s="240"/>
      <c r="BA250" s="240"/>
      <c r="BB250" s="240"/>
      <c r="BC250" s="240"/>
      <c r="BD250" s="240"/>
      <c r="BE250" s="240"/>
      <c r="BF250" s="240"/>
      <c r="BG250" s="240"/>
      <c r="BH250" s="240"/>
    </row>
    <row r="251" spans="2:60" s="241" customFormat="1">
      <c r="B251" s="72">
        <f t="shared" si="258"/>
        <v>1</v>
      </c>
      <c r="C251" s="72">
        <f t="shared" si="237"/>
        <v>16</v>
      </c>
      <c r="D251" s="72" t="str">
        <f t="shared" si="259"/>
        <v>Peer Industry</v>
      </c>
      <c r="E251" s="73">
        <v>2014</v>
      </c>
      <c r="F251" s="390">
        <f t="shared" si="254"/>
        <v>41316.479999999996</v>
      </c>
      <c r="G251" s="75">
        <f t="shared" si="255"/>
        <v>0.24049847213055872</v>
      </c>
      <c r="H251" s="127"/>
      <c r="I251" s="127"/>
      <c r="J251" s="74">
        <f t="shared" si="256"/>
        <v>1203719.4530803985</v>
      </c>
      <c r="K251" s="75">
        <f t="shared" si="256"/>
        <v>0.99999999999999989</v>
      </c>
      <c r="L251" s="72"/>
      <c r="M251" s="127">
        <f t="shared" si="257"/>
        <v>87044180.748999998</v>
      </c>
      <c r="N251" s="74">
        <f t="shared" si="257"/>
        <v>3661556.6603654176</v>
      </c>
      <c r="O251" s="127">
        <f t="shared" si="260"/>
        <v>2457837.2072850191</v>
      </c>
      <c r="P251" s="75">
        <f t="shared" si="265"/>
        <v>0.67125472449734824</v>
      </c>
      <c r="Q251" s="75">
        <f t="shared" si="266"/>
        <v>0.32874527550265176</v>
      </c>
      <c r="R251" s="125">
        <f t="shared" si="267"/>
        <v>0</v>
      </c>
      <c r="S251" s="125">
        <f t="shared" si="268"/>
        <v>0.32874527550265176</v>
      </c>
      <c r="T251" s="75"/>
      <c r="U251" s="237"/>
      <c r="V251" s="239"/>
      <c r="W251" s="239"/>
      <c r="X251" s="239"/>
      <c r="Y251" s="240"/>
      <c r="Z251" s="240"/>
      <c r="AA251" s="240"/>
      <c r="AB251" s="240"/>
      <c r="AC251" s="240"/>
      <c r="AD251" s="240"/>
      <c r="AE251" s="240"/>
      <c r="AF251" s="240"/>
      <c r="AG251" s="240"/>
      <c r="AH251" s="240"/>
      <c r="AI251" s="240"/>
      <c r="AJ251" s="240"/>
      <c r="AK251" s="240"/>
      <c r="AL251" s="240"/>
      <c r="AM251" s="240"/>
      <c r="AN251" s="240"/>
      <c r="AO251" s="240"/>
      <c r="AP251" s="240"/>
      <c r="AQ251" s="240"/>
      <c r="AR251" s="240"/>
      <c r="AS251" s="240"/>
      <c r="AT251" s="240"/>
      <c r="AU251" s="240"/>
      <c r="AV251" s="240"/>
      <c r="AW251" s="240"/>
      <c r="AX251" s="240"/>
      <c r="AY251" s="240"/>
      <c r="AZ251" s="240"/>
      <c r="BA251" s="240"/>
      <c r="BB251" s="240"/>
      <c r="BC251" s="240"/>
      <c r="BD251" s="240"/>
      <c r="BE251" s="240"/>
      <c r="BF251" s="240"/>
      <c r="BG251" s="240"/>
      <c r="BH251" s="240"/>
    </row>
    <row r="252" spans="2:60" s="236" customFormat="1">
      <c r="B252" s="69">
        <f>'OPG hydro peers'!B23</f>
        <v>1</v>
      </c>
      <c r="C252" s="69">
        <f t="shared" si="237"/>
        <v>17</v>
      </c>
      <c r="D252" s="69" t="str">
        <f>'OPG hydro peers'!D23</f>
        <v>Peer Industry less OPG</v>
      </c>
      <c r="E252" s="70">
        <v>2002</v>
      </c>
      <c r="F252" s="391">
        <f t="shared" ref="F252:F264" si="269">F239-F5</f>
        <v>34091.490000000005</v>
      </c>
      <c r="G252" s="76">
        <f t="shared" ref="G252:G261" si="270">M252/(F252*8760)</f>
        <v>0.20369147308633964</v>
      </c>
      <c r="H252" s="138"/>
      <c r="I252" s="138"/>
      <c r="J252" s="71">
        <f t="shared" ref="J252:K264" si="271">SUMIF($E$5:$E$225,$E252,J$5:J$225)-J5</f>
        <v>410010.45420000004</v>
      </c>
      <c r="K252" s="76">
        <f t="shared" si="271"/>
        <v>0.57604716169051162</v>
      </c>
      <c r="L252" s="69"/>
      <c r="M252" s="138">
        <f t="shared" ref="M252:N264" si="272">M239-M5</f>
        <v>60830717.363999993</v>
      </c>
      <c r="N252" s="71">
        <f t="shared" si="272"/>
        <v>1505762.6059187651</v>
      </c>
      <c r="O252" s="138">
        <f>N252-J252</f>
        <v>1095752.151718765</v>
      </c>
      <c r="P252" s="76">
        <f>O252/N252</f>
        <v>0.72770578005566444</v>
      </c>
      <c r="Q252" s="76">
        <f>1-P252</f>
        <v>0.27229421994433556</v>
      </c>
      <c r="R252" s="76">
        <f t="shared" ref="R252:R262" si="273">Q252*L252</f>
        <v>0</v>
      </c>
      <c r="S252" s="76">
        <f>Q252-R252</f>
        <v>0.27229421994433556</v>
      </c>
      <c r="T252" s="76">
        <f>R252-S252</f>
        <v>-0.27229421994433556</v>
      </c>
      <c r="U252" s="237"/>
      <c r="V252" s="239"/>
      <c r="W252" s="239"/>
      <c r="X252" s="239"/>
      <c r="Y252" s="240"/>
      <c r="Z252" s="240"/>
      <c r="AA252" s="240"/>
      <c r="AB252" s="240"/>
      <c r="AC252" s="240"/>
      <c r="AD252" s="240"/>
      <c r="AE252" s="240"/>
      <c r="AF252" s="240"/>
      <c r="AG252" s="240"/>
      <c r="AH252" s="240"/>
      <c r="AI252" s="240"/>
      <c r="AJ252" s="240"/>
      <c r="AK252" s="240"/>
      <c r="AL252" s="240"/>
      <c r="AM252" s="240"/>
      <c r="AN252" s="240"/>
      <c r="AO252" s="240"/>
      <c r="AP252" s="240"/>
      <c r="AQ252" s="240"/>
      <c r="AR252" s="240"/>
      <c r="AS252" s="240"/>
      <c r="AT252" s="240"/>
      <c r="AU252" s="240"/>
      <c r="AV252" s="240"/>
      <c r="AW252" s="240"/>
      <c r="AX252" s="240"/>
      <c r="AY252" s="240"/>
      <c r="AZ252" s="240"/>
      <c r="BA252" s="240"/>
      <c r="BB252" s="240"/>
      <c r="BC252" s="240"/>
      <c r="BD252" s="240"/>
      <c r="BE252" s="240"/>
      <c r="BF252" s="240"/>
      <c r="BG252" s="240"/>
      <c r="BH252" s="240"/>
    </row>
    <row r="253" spans="2:60" s="236" customFormat="1">
      <c r="B253" s="69">
        <f t="shared" ref="B253:B264" si="274">B252</f>
        <v>1</v>
      </c>
      <c r="C253" s="69">
        <f t="shared" si="237"/>
        <v>17</v>
      </c>
      <c r="D253" s="69" t="str">
        <f t="shared" ref="D253:D260" si="275">D252</f>
        <v>Peer Industry less OPG</v>
      </c>
      <c r="E253" s="70">
        <v>2003</v>
      </c>
      <c r="F253" s="391">
        <f t="shared" si="269"/>
        <v>34608.490000000005</v>
      </c>
      <c r="G253" s="76">
        <f t="shared" si="270"/>
        <v>0.23918006347377493</v>
      </c>
      <c r="H253" s="138"/>
      <c r="I253" s="138"/>
      <c r="J253" s="71">
        <f t="shared" si="271"/>
        <v>441340.57286000007</v>
      </c>
      <c r="K253" s="76">
        <f t="shared" si="271"/>
        <v>0.55388756038468978</v>
      </c>
      <c r="L253" s="69"/>
      <c r="M253" s="138">
        <f t="shared" si="272"/>
        <v>72512308.91399999</v>
      </c>
      <c r="N253" s="71">
        <f t="shared" si="272"/>
        <v>2558983.363714512</v>
      </c>
      <c r="O253" s="138">
        <f t="shared" ref="O253:O261" si="276">N253-J253</f>
        <v>2117642.7908545118</v>
      </c>
      <c r="P253" s="76">
        <f t="shared" ref="P253:P262" si="277">O253/N253</f>
        <v>0.8275328479590548</v>
      </c>
      <c r="Q253" s="76">
        <f t="shared" ref="Q253:Q262" si="278">1-P253</f>
        <v>0.1724671520409452</v>
      </c>
      <c r="R253" s="76">
        <f t="shared" si="273"/>
        <v>0</v>
      </c>
      <c r="S253" s="76">
        <f t="shared" ref="S253:T262" si="279">Q253-R253</f>
        <v>0.1724671520409452</v>
      </c>
      <c r="T253" s="76">
        <f t="shared" si="279"/>
        <v>-0.1724671520409452</v>
      </c>
      <c r="U253" s="237"/>
      <c r="V253" s="239"/>
      <c r="W253" s="239"/>
      <c r="X253" s="239"/>
      <c r="Y253" s="240"/>
      <c r="Z253" s="240"/>
      <c r="AA253" s="240"/>
      <c r="AB253" s="240"/>
      <c r="AC253" s="240"/>
      <c r="AD253" s="240"/>
      <c r="AE253" s="240"/>
      <c r="AF253" s="240"/>
      <c r="AG253" s="240"/>
      <c r="AH253" s="240"/>
      <c r="AI253" s="240"/>
      <c r="AJ253" s="240"/>
      <c r="AK253" s="240"/>
      <c r="AL253" s="240"/>
      <c r="AM253" s="240"/>
      <c r="AN253" s="240"/>
      <c r="AO253" s="240"/>
      <c r="AP253" s="240"/>
      <c r="AQ253" s="240"/>
      <c r="AR253" s="240"/>
      <c r="AS253" s="240"/>
      <c r="AT253" s="240"/>
      <c r="AU253" s="240"/>
      <c r="AV253" s="240"/>
      <c r="AW253" s="240"/>
      <c r="AX253" s="240"/>
      <c r="AY253" s="240"/>
      <c r="AZ253" s="240"/>
      <c r="BA253" s="240"/>
      <c r="BB253" s="240"/>
      <c r="BC253" s="240"/>
      <c r="BD253" s="240"/>
      <c r="BE253" s="240"/>
      <c r="BF253" s="240"/>
      <c r="BG253" s="240"/>
      <c r="BH253" s="240"/>
    </row>
    <row r="254" spans="2:60" s="236" customFormat="1">
      <c r="B254" s="69">
        <f t="shared" si="274"/>
        <v>1</v>
      </c>
      <c r="C254" s="69">
        <f t="shared" si="237"/>
        <v>17</v>
      </c>
      <c r="D254" s="69" t="str">
        <f t="shared" si="275"/>
        <v>Peer Industry less OPG</v>
      </c>
      <c r="E254" s="70">
        <v>2004</v>
      </c>
      <c r="F254" s="391">
        <f t="shared" si="269"/>
        <v>34600.509999999995</v>
      </c>
      <c r="G254" s="76">
        <f t="shared" si="270"/>
        <v>0.21735920345376597</v>
      </c>
      <c r="H254" s="138"/>
      <c r="I254" s="138"/>
      <c r="J254" s="71">
        <f t="shared" si="271"/>
        <v>476604.61778999981</v>
      </c>
      <c r="K254" s="76">
        <f t="shared" si="271"/>
        <v>0.58029097835683052</v>
      </c>
      <c r="L254" s="69"/>
      <c r="M254" s="138">
        <f t="shared" si="272"/>
        <v>65881676.203999996</v>
      </c>
      <c r="N254" s="71">
        <f t="shared" si="272"/>
        <v>2627095.0781247509</v>
      </c>
      <c r="O254" s="138">
        <f t="shared" si="276"/>
        <v>2150490.4603347508</v>
      </c>
      <c r="P254" s="76">
        <f t="shared" si="277"/>
        <v>0.81858113101479157</v>
      </c>
      <c r="Q254" s="76">
        <f t="shared" si="278"/>
        <v>0.18141886898520843</v>
      </c>
      <c r="R254" s="76">
        <f t="shared" si="273"/>
        <v>0</v>
      </c>
      <c r="S254" s="76">
        <f t="shared" si="279"/>
        <v>0.18141886898520843</v>
      </c>
      <c r="T254" s="76">
        <f t="shared" si="279"/>
        <v>-0.18141886898520843</v>
      </c>
      <c r="U254" s="237"/>
      <c r="V254" s="239"/>
      <c r="W254" s="239"/>
      <c r="X254" s="239"/>
      <c r="Y254" s="240"/>
      <c r="Z254" s="240"/>
      <c r="AA254" s="240"/>
      <c r="AB254" s="240"/>
      <c r="AC254" s="240"/>
      <c r="AD254" s="240"/>
      <c r="AE254" s="240"/>
      <c r="AF254" s="240"/>
      <c r="AG254" s="240"/>
      <c r="AH254" s="240"/>
      <c r="AI254" s="240"/>
      <c r="AJ254" s="240"/>
      <c r="AK254" s="240"/>
      <c r="AL254" s="240"/>
      <c r="AM254" s="240"/>
      <c r="AN254" s="240"/>
      <c r="AO254" s="240"/>
      <c r="AP254" s="240"/>
      <c r="AQ254" s="240"/>
      <c r="AR254" s="240"/>
      <c r="AS254" s="240"/>
      <c r="AT254" s="240"/>
      <c r="AU254" s="240"/>
      <c r="AV254" s="240"/>
      <c r="AW254" s="240"/>
      <c r="AX254" s="240"/>
      <c r="AY254" s="240"/>
      <c r="AZ254" s="240"/>
      <c r="BA254" s="240"/>
      <c r="BB254" s="240"/>
      <c r="BC254" s="240"/>
      <c r="BD254" s="240"/>
      <c r="BE254" s="240"/>
      <c r="BF254" s="240"/>
      <c r="BG254" s="240"/>
      <c r="BH254" s="240"/>
    </row>
    <row r="255" spans="2:60" s="236" customFormat="1">
      <c r="B255" s="69">
        <f t="shared" si="274"/>
        <v>1</v>
      </c>
      <c r="C255" s="69">
        <f t="shared" si="237"/>
        <v>17</v>
      </c>
      <c r="D255" s="69" t="str">
        <f t="shared" si="275"/>
        <v>Peer Industry less OPG</v>
      </c>
      <c r="E255" s="70">
        <v>2005</v>
      </c>
      <c r="F255" s="391">
        <f t="shared" si="269"/>
        <v>34685.81</v>
      </c>
      <c r="G255" s="76">
        <f t="shared" si="270"/>
        <v>0.22845664227904056</v>
      </c>
      <c r="H255" s="138"/>
      <c r="I255" s="138"/>
      <c r="J255" s="71">
        <f t="shared" si="271"/>
        <v>491323.87107000011</v>
      </c>
      <c r="K255" s="76">
        <f t="shared" si="271"/>
        <v>0.56646791108545735</v>
      </c>
      <c r="L255" s="69"/>
      <c r="M255" s="138">
        <f t="shared" si="272"/>
        <v>69416024.300999999</v>
      </c>
      <c r="N255" s="71">
        <f t="shared" si="272"/>
        <v>3698256.3133227807</v>
      </c>
      <c r="O255" s="138">
        <f t="shared" si="276"/>
        <v>3206932.4422527803</v>
      </c>
      <c r="P255" s="76">
        <f t="shared" si="277"/>
        <v>0.86714715545809218</v>
      </c>
      <c r="Q255" s="76">
        <f t="shared" si="278"/>
        <v>0.13285284454190782</v>
      </c>
      <c r="R255" s="76">
        <f t="shared" si="273"/>
        <v>0</v>
      </c>
      <c r="S255" s="76">
        <f t="shared" si="279"/>
        <v>0.13285284454190782</v>
      </c>
      <c r="T255" s="76">
        <f t="shared" si="279"/>
        <v>-0.13285284454190782</v>
      </c>
      <c r="U255" s="237"/>
      <c r="V255" s="239"/>
      <c r="W255" s="239"/>
      <c r="X255" s="239"/>
      <c r="Y255" s="240"/>
      <c r="Z255" s="240"/>
      <c r="AA255" s="240"/>
      <c r="AB255" s="240"/>
      <c r="AC255" s="240"/>
      <c r="AD255" s="240"/>
      <c r="AE255" s="240"/>
      <c r="AF255" s="240"/>
      <c r="AG255" s="240"/>
      <c r="AH255" s="240"/>
      <c r="AI255" s="240"/>
      <c r="AJ255" s="240"/>
      <c r="AK255" s="240"/>
      <c r="AL255" s="240"/>
      <c r="AM255" s="240"/>
      <c r="AN255" s="240"/>
      <c r="AO255" s="240"/>
      <c r="AP255" s="240"/>
      <c r="AQ255" s="240"/>
      <c r="AR255" s="240"/>
      <c r="AS255" s="240"/>
      <c r="AT255" s="240"/>
      <c r="AU255" s="240"/>
      <c r="AV255" s="240"/>
      <c r="AW255" s="240"/>
      <c r="AX255" s="240"/>
      <c r="AY255" s="240"/>
      <c r="AZ255" s="240"/>
      <c r="BA255" s="240"/>
      <c r="BB255" s="240"/>
      <c r="BC255" s="240"/>
      <c r="BD255" s="240"/>
      <c r="BE255" s="240"/>
      <c r="BF255" s="240"/>
      <c r="BG255" s="240"/>
      <c r="BH255" s="240"/>
    </row>
    <row r="256" spans="2:60" s="236" customFormat="1">
      <c r="B256" s="69">
        <f t="shared" si="274"/>
        <v>1</v>
      </c>
      <c r="C256" s="69">
        <f t="shared" si="237"/>
        <v>17</v>
      </c>
      <c r="D256" s="69" t="str">
        <f t="shared" si="275"/>
        <v>Peer Industry less OPG</v>
      </c>
      <c r="E256" s="70">
        <v>2006</v>
      </c>
      <c r="F256" s="391">
        <f t="shared" si="269"/>
        <v>34764.289999999994</v>
      </c>
      <c r="G256" s="76">
        <f t="shared" si="270"/>
        <v>0.22916143654843243</v>
      </c>
      <c r="H256" s="138"/>
      <c r="I256" s="138"/>
      <c r="J256" s="71">
        <f t="shared" si="271"/>
        <v>515903.04333000001</v>
      </c>
      <c r="K256" s="76">
        <f t="shared" si="271"/>
        <v>0.56482843784500814</v>
      </c>
      <c r="L256" s="69"/>
      <c r="M256" s="138">
        <f t="shared" si="272"/>
        <v>69787719.420000002</v>
      </c>
      <c r="N256" s="71">
        <f t="shared" si="272"/>
        <v>3298141.9327156013</v>
      </c>
      <c r="O256" s="138">
        <f t="shared" si="276"/>
        <v>2782238.8893856015</v>
      </c>
      <c r="P256" s="76">
        <f t="shared" si="277"/>
        <v>0.84357767074468526</v>
      </c>
      <c r="Q256" s="76">
        <f t="shared" si="278"/>
        <v>0.15642232925531474</v>
      </c>
      <c r="R256" s="76">
        <f t="shared" si="273"/>
        <v>0</v>
      </c>
      <c r="S256" s="76">
        <f t="shared" si="279"/>
        <v>0.15642232925531474</v>
      </c>
      <c r="T256" s="76">
        <f t="shared" si="279"/>
        <v>-0.15642232925531474</v>
      </c>
      <c r="U256" s="237"/>
      <c r="V256" s="239"/>
      <c r="W256" s="239"/>
      <c r="X256" s="239"/>
      <c r="Y256" s="240"/>
      <c r="Z256" s="240"/>
      <c r="AA256" s="240"/>
      <c r="AB256" s="240"/>
      <c r="AC256" s="240"/>
      <c r="AD256" s="240"/>
      <c r="AE256" s="240"/>
      <c r="AF256" s="240"/>
      <c r="AG256" s="240"/>
      <c r="AH256" s="240"/>
      <c r="AI256" s="240"/>
      <c r="AJ256" s="240"/>
      <c r="AK256" s="240"/>
      <c r="AL256" s="240"/>
      <c r="AM256" s="240"/>
      <c r="AN256" s="240"/>
      <c r="AO256" s="240"/>
      <c r="AP256" s="240"/>
      <c r="AQ256" s="240"/>
      <c r="AR256" s="240"/>
      <c r="AS256" s="240"/>
      <c r="AT256" s="240"/>
      <c r="AU256" s="240"/>
      <c r="AV256" s="240"/>
      <c r="AW256" s="240"/>
      <c r="AX256" s="240"/>
      <c r="AY256" s="240"/>
      <c r="AZ256" s="240"/>
      <c r="BA256" s="240"/>
      <c r="BB256" s="240"/>
      <c r="BC256" s="240"/>
      <c r="BD256" s="240"/>
      <c r="BE256" s="240"/>
      <c r="BF256" s="240"/>
      <c r="BG256" s="240"/>
      <c r="BH256" s="240"/>
    </row>
    <row r="257" spans="2:60" s="236" customFormat="1">
      <c r="B257" s="69">
        <f t="shared" si="274"/>
        <v>1</v>
      </c>
      <c r="C257" s="69">
        <f t="shared" si="237"/>
        <v>17</v>
      </c>
      <c r="D257" s="69" t="str">
        <f t="shared" si="275"/>
        <v>Peer Industry less OPG</v>
      </c>
      <c r="E257" s="70">
        <v>2007</v>
      </c>
      <c r="F257" s="391">
        <f t="shared" si="269"/>
        <v>34195.289999999994</v>
      </c>
      <c r="G257" s="76">
        <f t="shared" si="270"/>
        <v>0.17966862726873106</v>
      </c>
      <c r="H257" s="138"/>
      <c r="I257" s="138"/>
      <c r="J257" s="71">
        <f t="shared" si="271"/>
        <v>564479.68261000002</v>
      </c>
      <c r="K257" s="76">
        <f t="shared" si="271"/>
        <v>0.56746671131867099</v>
      </c>
      <c r="L257" s="69"/>
      <c r="M257" s="138">
        <f t="shared" si="272"/>
        <v>53819870.325000003</v>
      </c>
      <c r="N257" s="71">
        <f t="shared" si="272"/>
        <v>2790187.5782428505</v>
      </c>
      <c r="O257" s="138">
        <f t="shared" si="276"/>
        <v>2225707.8956328505</v>
      </c>
      <c r="P257" s="76">
        <f t="shared" si="277"/>
        <v>0.79769113481413789</v>
      </c>
      <c r="Q257" s="76">
        <f t="shared" si="278"/>
        <v>0.20230886518586211</v>
      </c>
      <c r="R257" s="76">
        <f t="shared" si="273"/>
        <v>0</v>
      </c>
      <c r="S257" s="76">
        <f t="shared" si="279"/>
        <v>0.20230886518586211</v>
      </c>
      <c r="T257" s="76">
        <f t="shared" si="279"/>
        <v>-0.20230886518586211</v>
      </c>
      <c r="U257" s="237"/>
      <c r="V257" s="239"/>
      <c r="W257" s="239"/>
      <c r="X257" s="239"/>
      <c r="Y257" s="240"/>
      <c r="Z257" s="240"/>
      <c r="AA257" s="240"/>
      <c r="AB257" s="240"/>
      <c r="AC257" s="240"/>
      <c r="AD257" s="240"/>
      <c r="AE257" s="240"/>
      <c r="AF257" s="240"/>
      <c r="AG257" s="240"/>
      <c r="AH257" s="240"/>
      <c r="AI257" s="240"/>
      <c r="AJ257" s="240"/>
      <c r="AK257" s="240"/>
      <c r="AL257" s="240"/>
      <c r="AM257" s="240"/>
      <c r="AN257" s="240"/>
      <c r="AO257" s="240"/>
      <c r="AP257" s="240"/>
      <c r="AQ257" s="240"/>
      <c r="AR257" s="240"/>
      <c r="AS257" s="240"/>
      <c r="AT257" s="240"/>
      <c r="AU257" s="240"/>
      <c r="AV257" s="240"/>
      <c r="AW257" s="240"/>
      <c r="AX257" s="240"/>
      <c r="AY257" s="240"/>
      <c r="AZ257" s="240"/>
      <c r="BA257" s="240"/>
      <c r="BB257" s="240"/>
      <c r="BC257" s="240"/>
      <c r="BD257" s="240"/>
      <c r="BE257" s="240"/>
      <c r="BF257" s="240"/>
      <c r="BG257" s="240"/>
      <c r="BH257" s="240"/>
    </row>
    <row r="258" spans="2:60" s="236" customFormat="1">
      <c r="B258" s="69">
        <f t="shared" si="274"/>
        <v>1</v>
      </c>
      <c r="C258" s="69">
        <f t="shared" si="237"/>
        <v>17</v>
      </c>
      <c r="D258" s="69" t="str">
        <f t="shared" si="275"/>
        <v>Peer Industry less OPG</v>
      </c>
      <c r="E258" s="70">
        <v>2008</v>
      </c>
      <c r="F258" s="391">
        <f t="shared" si="269"/>
        <v>34526.039999999994</v>
      </c>
      <c r="G258" s="76">
        <f t="shared" si="270"/>
        <v>0.17868629423250654</v>
      </c>
      <c r="H258" s="138"/>
      <c r="I258" s="138"/>
      <c r="J258" s="71">
        <f t="shared" si="271"/>
        <v>604754.81602000003</v>
      </c>
      <c r="K258" s="76">
        <f t="shared" si="271"/>
        <v>0.55814781356116061</v>
      </c>
      <c r="L258" s="69"/>
      <c r="M258" s="138">
        <f t="shared" si="272"/>
        <v>54043332.045000002</v>
      </c>
      <c r="N258" s="71">
        <f t="shared" si="272"/>
        <v>3510833.9436932439</v>
      </c>
      <c r="O258" s="138">
        <f t="shared" si="276"/>
        <v>2906079.1276732441</v>
      </c>
      <c r="P258" s="76">
        <f t="shared" si="277"/>
        <v>0.82774610656070391</v>
      </c>
      <c r="Q258" s="76">
        <f t="shared" si="278"/>
        <v>0.17225389343929609</v>
      </c>
      <c r="R258" s="76">
        <f t="shared" si="273"/>
        <v>0</v>
      </c>
      <c r="S258" s="76">
        <f t="shared" si="279"/>
        <v>0.17225389343929609</v>
      </c>
      <c r="T258" s="76">
        <f t="shared" si="279"/>
        <v>-0.17225389343929609</v>
      </c>
      <c r="U258" s="237"/>
      <c r="V258" s="239"/>
      <c r="W258" s="239"/>
      <c r="X258" s="239"/>
      <c r="Y258" s="240"/>
      <c r="Z258" s="240"/>
      <c r="AA258" s="240"/>
      <c r="AB258" s="240"/>
      <c r="AC258" s="240"/>
      <c r="AD258" s="240"/>
      <c r="AE258" s="240"/>
      <c r="AF258" s="240"/>
      <c r="AG258" s="240"/>
      <c r="AH258" s="240"/>
      <c r="AI258" s="240"/>
      <c r="AJ258" s="240"/>
      <c r="AK258" s="240"/>
      <c r="AL258" s="240"/>
      <c r="AM258" s="240"/>
      <c r="AN258" s="240"/>
      <c r="AO258" s="240"/>
      <c r="AP258" s="240"/>
      <c r="AQ258" s="240"/>
      <c r="AR258" s="240"/>
      <c r="AS258" s="240"/>
      <c r="AT258" s="240"/>
      <c r="AU258" s="240"/>
      <c r="AV258" s="240"/>
      <c r="AW258" s="240"/>
      <c r="AX258" s="240"/>
      <c r="AY258" s="240"/>
      <c r="AZ258" s="240"/>
      <c r="BA258" s="240"/>
      <c r="BB258" s="240"/>
      <c r="BC258" s="240"/>
      <c r="BD258" s="240"/>
      <c r="BE258" s="240"/>
      <c r="BF258" s="240"/>
      <c r="BG258" s="240"/>
      <c r="BH258" s="240"/>
    </row>
    <row r="259" spans="2:60" s="236" customFormat="1">
      <c r="B259" s="69">
        <f t="shared" si="274"/>
        <v>1</v>
      </c>
      <c r="C259" s="69">
        <f t="shared" si="237"/>
        <v>17</v>
      </c>
      <c r="D259" s="69" t="str">
        <f t="shared" si="275"/>
        <v>Peer Industry less OPG</v>
      </c>
      <c r="E259" s="70">
        <v>2009</v>
      </c>
      <c r="F259" s="391">
        <f t="shared" si="269"/>
        <v>34630.349999999991</v>
      </c>
      <c r="G259" s="76">
        <f t="shared" si="270"/>
        <v>0.21426990675222182</v>
      </c>
      <c r="H259" s="138"/>
      <c r="I259" s="138"/>
      <c r="J259" s="71">
        <f t="shared" si="271"/>
        <v>607090.33918999985</v>
      </c>
      <c r="K259" s="76">
        <f t="shared" si="271"/>
        <v>0.56559431345756961</v>
      </c>
      <c r="L259" s="69"/>
      <c r="M259" s="138">
        <f t="shared" si="272"/>
        <v>65001318.740000002</v>
      </c>
      <c r="N259" s="71">
        <f t="shared" si="272"/>
        <v>2274159.052162935</v>
      </c>
      <c r="O259" s="138">
        <f t="shared" si="276"/>
        <v>1667068.7129729353</v>
      </c>
      <c r="P259" s="76">
        <f t="shared" si="277"/>
        <v>0.73304842569713813</v>
      </c>
      <c r="Q259" s="76">
        <f t="shared" si="278"/>
        <v>0.26695157430286187</v>
      </c>
      <c r="R259" s="76">
        <f t="shared" si="273"/>
        <v>0</v>
      </c>
      <c r="S259" s="76">
        <f t="shared" si="279"/>
        <v>0.26695157430286187</v>
      </c>
      <c r="T259" s="76">
        <f t="shared" si="279"/>
        <v>-0.26695157430286187</v>
      </c>
      <c r="U259" s="237"/>
      <c r="V259" s="239"/>
      <c r="W259" s="239"/>
      <c r="X259" s="239"/>
      <c r="Y259" s="240"/>
      <c r="Z259" s="240"/>
      <c r="AA259" s="240"/>
      <c r="AB259" s="240"/>
      <c r="AC259" s="240"/>
      <c r="AD259" s="240"/>
      <c r="AE259" s="240"/>
      <c r="AF259" s="240"/>
      <c r="AG259" s="240"/>
      <c r="AH259" s="240"/>
      <c r="AI259" s="240"/>
      <c r="AJ259" s="240"/>
      <c r="AK259" s="240"/>
      <c r="AL259" s="240"/>
      <c r="AM259" s="240"/>
      <c r="AN259" s="240"/>
      <c r="AO259" s="240"/>
      <c r="AP259" s="240"/>
      <c r="AQ259" s="240"/>
      <c r="AR259" s="240"/>
      <c r="AS259" s="240"/>
      <c r="AT259" s="240"/>
      <c r="AU259" s="240"/>
      <c r="AV259" s="240"/>
      <c r="AW259" s="240"/>
      <c r="AX259" s="240"/>
      <c r="AY259" s="240"/>
      <c r="AZ259" s="240"/>
      <c r="BA259" s="240"/>
      <c r="BB259" s="240"/>
      <c r="BC259" s="240"/>
      <c r="BD259" s="240"/>
      <c r="BE259" s="240"/>
      <c r="BF259" s="240"/>
      <c r="BG259" s="240"/>
      <c r="BH259" s="240"/>
    </row>
    <row r="260" spans="2:60" s="236" customFormat="1">
      <c r="B260" s="69">
        <f t="shared" si="274"/>
        <v>1</v>
      </c>
      <c r="C260" s="69">
        <f t="shared" si="237"/>
        <v>17</v>
      </c>
      <c r="D260" s="69" t="str">
        <f t="shared" si="275"/>
        <v>Peer Industry less OPG</v>
      </c>
      <c r="E260" s="70">
        <v>2010</v>
      </c>
      <c r="F260" s="391">
        <f t="shared" si="269"/>
        <v>34624.549999999996</v>
      </c>
      <c r="G260" s="76">
        <f t="shared" si="270"/>
        <v>0.21758439769775892</v>
      </c>
      <c r="H260" s="138"/>
      <c r="I260" s="138"/>
      <c r="J260" s="71">
        <f t="shared" si="271"/>
        <v>664429.21176000009</v>
      </c>
      <c r="K260" s="76">
        <f t="shared" si="271"/>
        <v>0.57637475086572199</v>
      </c>
      <c r="L260" s="69"/>
      <c r="M260" s="138">
        <f t="shared" si="272"/>
        <v>65995753.870000005</v>
      </c>
      <c r="N260" s="71">
        <f t="shared" si="272"/>
        <v>2392258.1201147204</v>
      </c>
      <c r="O260" s="138">
        <f t="shared" si="276"/>
        <v>1727828.9083547203</v>
      </c>
      <c r="P260" s="76">
        <f t="shared" si="277"/>
        <v>0.72225856140969547</v>
      </c>
      <c r="Q260" s="76">
        <f t="shared" si="278"/>
        <v>0.27774143859030453</v>
      </c>
      <c r="R260" s="76">
        <f t="shared" si="273"/>
        <v>0</v>
      </c>
      <c r="S260" s="76">
        <f t="shared" si="279"/>
        <v>0.27774143859030453</v>
      </c>
      <c r="T260" s="76">
        <f t="shared" si="279"/>
        <v>-0.27774143859030453</v>
      </c>
      <c r="U260" s="237"/>
      <c r="V260" s="239"/>
      <c r="W260" s="239"/>
      <c r="X260" s="239"/>
      <c r="Y260" s="240"/>
      <c r="Z260" s="240"/>
      <c r="AA260" s="240"/>
      <c r="AB260" s="240"/>
      <c r="AC260" s="240"/>
      <c r="AD260" s="240"/>
      <c r="AE260" s="240"/>
      <c r="AF260" s="240"/>
      <c r="AG260" s="240"/>
      <c r="AH260" s="240"/>
      <c r="AI260" s="240"/>
      <c r="AJ260" s="240"/>
      <c r="AK260" s="240"/>
      <c r="AL260" s="240"/>
      <c r="AM260" s="240"/>
      <c r="AN260" s="240"/>
      <c r="AO260" s="240"/>
      <c r="AP260" s="240"/>
      <c r="AQ260" s="240"/>
      <c r="AR260" s="240"/>
      <c r="AS260" s="240"/>
      <c r="AT260" s="240"/>
      <c r="AU260" s="240"/>
      <c r="AV260" s="240"/>
      <c r="AW260" s="240"/>
      <c r="AX260" s="240"/>
      <c r="AY260" s="240"/>
      <c r="AZ260" s="240"/>
      <c r="BA260" s="240"/>
      <c r="BB260" s="240"/>
      <c r="BC260" s="240"/>
      <c r="BD260" s="240"/>
      <c r="BE260" s="240"/>
      <c r="BF260" s="240"/>
      <c r="BG260" s="240"/>
      <c r="BH260" s="240"/>
    </row>
    <row r="261" spans="2:60" s="236" customFormat="1">
      <c r="B261" s="69">
        <f t="shared" si="274"/>
        <v>1</v>
      </c>
      <c r="C261" s="69">
        <f t="shared" si="237"/>
        <v>17</v>
      </c>
      <c r="D261" s="69" t="str">
        <f t="shared" ref="D261:D264" si="280">D260</f>
        <v>Peer Industry less OPG</v>
      </c>
      <c r="E261" s="70">
        <v>2011</v>
      </c>
      <c r="F261" s="391">
        <f t="shared" si="269"/>
        <v>34780.149999999994</v>
      </c>
      <c r="G261" s="76">
        <f t="shared" si="270"/>
        <v>0.23439199938725358</v>
      </c>
      <c r="H261" s="138"/>
      <c r="I261" s="138"/>
      <c r="J261" s="71">
        <f t="shared" si="271"/>
        <v>658384.85443999979</v>
      </c>
      <c r="K261" s="76">
        <f t="shared" si="271"/>
        <v>0.57228184531106829</v>
      </c>
      <c r="L261" s="69"/>
      <c r="M261" s="138">
        <f t="shared" si="272"/>
        <v>71413174.742000014</v>
      </c>
      <c r="N261" s="71">
        <f t="shared" si="272"/>
        <v>2319277.7157658814</v>
      </c>
      <c r="O261" s="138">
        <f t="shared" si="276"/>
        <v>1660892.8613258814</v>
      </c>
      <c r="P261" s="76">
        <f t="shared" si="277"/>
        <v>0.71612504618810369</v>
      </c>
      <c r="Q261" s="76">
        <f t="shared" si="278"/>
        <v>0.28387495381189631</v>
      </c>
      <c r="R261" s="76">
        <f t="shared" si="273"/>
        <v>0</v>
      </c>
      <c r="S261" s="76">
        <f t="shared" si="279"/>
        <v>0.28387495381189631</v>
      </c>
      <c r="T261" s="76">
        <f t="shared" si="279"/>
        <v>-0.28387495381189631</v>
      </c>
      <c r="U261" s="237"/>
      <c r="V261" s="239"/>
      <c r="W261" s="239"/>
      <c r="X261" s="239"/>
      <c r="Y261" s="240"/>
      <c r="Z261" s="240"/>
      <c r="AA261" s="240"/>
      <c r="AB261" s="240"/>
      <c r="AC261" s="240"/>
      <c r="AD261" s="240"/>
      <c r="AE261" s="240"/>
      <c r="AF261" s="240"/>
      <c r="AG261" s="240"/>
      <c r="AH261" s="240"/>
      <c r="AI261" s="240"/>
      <c r="AJ261" s="240"/>
      <c r="AK261" s="240"/>
      <c r="AL261" s="240"/>
      <c r="AM261" s="240"/>
      <c r="AN261" s="240"/>
      <c r="AO261" s="240"/>
      <c r="AP261" s="240"/>
      <c r="AQ261" s="240"/>
      <c r="AR261" s="240"/>
      <c r="AS261" s="240"/>
      <c r="AT261" s="240"/>
      <c r="AU261" s="240"/>
      <c r="AV261" s="240"/>
      <c r="AW261" s="240"/>
      <c r="AX261" s="240"/>
      <c r="AY261" s="240"/>
      <c r="AZ261" s="240"/>
      <c r="BA261" s="240"/>
      <c r="BB261" s="240"/>
      <c r="BC261" s="240"/>
      <c r="BD261" s="240"/>
      <c r="BE261" s="240"/>
      <c r="BF261" s="240"/>
      <c r="BG261" s="240"/>
      <c r="BH261" s="240"/>
    </row>
    <row r="262" spans="2:60" s="236" customFormat="1">
      <c r="B262" s="69">
        <f t="shared" si="274"/>
        <v>1</v>
      </c>
      <c r="C262" s="69">
        <f t="shared" si="237"/>
        <v>17</v>
      </c>
      <c r="D262" s="69" t="str">
        <f t="shared" si="280"/>
        <v>Peer Industry less OPG</v>
      </c>
      <c r="E262" s="70">
        <v>2012</v>
      </c>
      <c r="F262" s="391">
        <f t="shared" si="269"/>
        <v>34824.36</v>
      </c>
      <c r="G262" s="76">
        <f>M262/(F262*8760)</f>
        <v>0.19552908225814908</v>
      </c>
      <c r="H262" s="138"/>
      <c r="I262" s="138"/>
      <c r="J262" s="71">
        <f t="shared" si="271"/>
        <v>662384.87186000007</v>
      </c>
      <c r="K262" s="76">
        <f t="shared" si="271"/>
        <v>0.55811906158587332</v>
      </c>
      <c r="L262" s="69"/>
      <c r="M262" s="138">
        <f t="shared" si="272"/>
        <v>59648374.322999999</v>
      </c>
      <c r="N262" s="71">
        <f t="shared" si="272"/>
        <v>1587145.6363660535</v>
      </c>
      <c r="O262" s="138">
        <f>N262-J262</f>
        <v>924760.76450605341</v>
      </c>
      <c r="P262" s="76">
        <f t="shared" si="277"/>
        <v>0.58265652711202742</v>
      </c>
      <c r="Q262" s="76">
        <f t="shared" si="278"/>
        <v>0.41734347288797258</v>
      </c>
      <c r="R262" s="76">
        <f t="shared" si="273"/>
        <v>0</v>
      </c>
      <c r="S262" s="76">
        <f t="shared" si="279"/>
        <v>0.41734347288797258</v>
      </c>
      <c r="T262" s="76">
        <f t="shared" si="279"/>
        <v>-0.41734347288797258</v>
      </c>
      <c r="U262" s="237"/>
      <c r="V262" s="239"/>
      <c r="W262" s="239"/>
      <c r="X262" s="239"/>
      <c r="Y262" s="240"/>
      <c r="Z262" s="240"/>
      <c r="AA262" s="240"/>
      <c r="AB262" s="240"/>
      <c r="AC262" s="240"/>
      <c r="AD262" s="240"/>
      <c r="AE262" s="240"/>
      <c r="AF262" s="240"/>
      <c r="AG262" s="240"/>
      <c r="AH262" s="240"/>
      <c r="AI262" s="240"/>
      <c r="AJ262" s="240"/>
      <c r="AK262" s="240"/>
      <c r="AL262" s="240"/>
      <c r="AM262" s="240"/>
      <c r="AN262" s="240"/>
      <c r="AO262" s="240"/>
      <c r="AP262" s="240"/>
      <c r="AQ262" s="240"/>
      <c r="AR262" s="240"/>
      <c r="AS262" s="240"/>
      <c r="AT262" s="240"/>
      <c r="AU262" s="240"/>
      <c r="AV262" s="240"/>
      <c r="AW262" s="240"/>
      <c r="AX262" s="240"/>
      <c r="AY262" s="240"/>
      <c r="AZ262" s="240"/>
      <c r="BA262" s="240"/>
      <c r="BB262" s="240"/>
      <c r="BC262" s="240"/>
      <c r="BD262" s="240"/>
      <c r="BE262" s="240"/>
      <c r="BF262" s="240"/>
      <c r="BG262" s="240"/>
      <c r="BH262" s="240"/>
    </row>
    <row r="263" spans="2:60" s="236" customFormat="1">
      <c r="B263" s="69">
        <f t="shared" si="274"/>
        <v>1</v>
      </c>
      <c r="C263" s="69">
        <f t="shared" si="237"/>
        <v>17</v>
      </c>
      <c r="D263" s="69" t="str">
        <f t="shared" si="280"/>
        <v>Peer Industry less OPG</v>
      </c>
      <c r="E263" s="70">
        <v>2013</v>
      </c>
      <c r="F263" s="391">
        <f t="shared" si="269"/>
        <v>34676.65</v>
      </c>
      <c r="G263" s="76">
        <f t="shared" ref="G263:G264" si="281">M263/(F263*8760)</f>
        <v>0.19610999331087001</v>
      </c>
      <c r="H263" s="138"/>
      <c r="I263" s="138"/>
      <c r="J263" s="71">
        <f t="shared" si="271"/>
        <v>667312.31840000011</v>
      </c>
      <c r="K263" s="76">
        <f t="shared" si="271"/>
        <v>0.56871722730823926</v>
      </c>
      <c r="L263" s="69"/>
      <c r="M263" s="138">
        <f t="shared" si="272"/>
        <v>59571833.372000009</v>
      </c>
      <c r="N263" s="71">
        <f t="shared" si="272"/>
        <v>2244172.3165069004</v>
      </c>
      <c r="O263" s="138">
        <f t="shared" ref="O263:O264" si="282">N263-J263</f>
        <v>1576859.9981069001</v>
      </c>
      <c r="P263" s="76">
        <f t="shared" ref="P263:P264" si="283">O263/N263</f>
        <v>0.70264657776427553</v>
      </c>
      <c r="Q263" s="76">
        <f t="shared" ref="Q263:Q264" si="284">1-P263</f>
        <v>0.29735342223572447</v>
      </c>
      <c r="R263" s="76">
        <f t="shared" ref="R263:R264" si="285">Q263*L263</f>
        <v>0</v>
      </c>
      <c r="S263" s="76">
        <f t="shared" ref="S263:S264" si="286">Q263-R263</f>
        <v>0.29735342223572447</v>
      </c>
      <c r="T263" s="76">
        <f t="shared" ref="T263:T264" si="287">R263-S263</f>
        <v>-0.29735342223572447</v>
      </c>
      <c r="U263" s="237"/>
      <c r="V263" s="239"/>
      <c r="W263" s="239"/>
      <c r="X263" s="239"/>
      <c r="Y263" s="240"/>
      <c r="Z263" s="240"/>
      <c r="AA263" s="240"/>
      <c r="AB263" s="240"/>
      <c r="AC263" s="240"/>
      <c r="AD263" s="240"/>
      <c r="AE263" s="240"/>
      <c r="AF263" s="240"/>
      <c r="AG263" s="240"/>
      <c r="AH263" s="240"/>
      <c r="AI263" s="240"/>
      <c r="AJ263" s="240"/>
      <c r="AK263" s="240"/>
      <c r="AL263" s="240"/>
      <c r="AM263" s="240"/>
      <c r="AN263" s="240"/>
      <c r="AO263" s="240"/>
      <c r="AP263" s="240"/>
      <c r="AQ263" s="240"/>
      <c r="AR263" s="240"/>
      <c r="AS263" s="240"/>
      <c r="AT263" s="240"/>
      <c r="AU263" s="240"/>
      <c r="AV263" s="240"/>
      <c r="AW263" s="240"/>
      <c r="AX263" s="240"/>
      <c r="AY263" s="240"/>
      <c r="AZ263" s="240"/>
      <c r="BA263" s="240"/>
      <c r="BB263" s="240"/>
      <c r="BC263" s="240"/>
      <c r="BD263" s="240"/>
      <c r="BE263" s="240"/>
      <c r="BF263" s="240"/>
      <c r="BG263" s="240"/>
      <c r="BH263" s="240"/>
    </row>
    <row r="264" spans="2:60" s="236" customFormat="1">
      <c r="B264" s="69">
        <f t="shared" si="274"/>
        <v>1</v>
      </c>
      <c r="C264" s="69">
        <f t="shared" si="237"/>
        <v>17</v>
      </c>
      <c r="D264" s="69" t="str">
        <f t="shared" si="280"/>
        <v>Peer Industry less OPG</v>
      </c>
      <c r="E264" s="70">
        <v>2014</v>
      </c>
      <c r="F264" s="391">
        <f t="shared" si="269"/>
        <v>34883.479999999996</v>
      </c>
      <c r="G264" s="76">
        <f t="shared" si="281"/>
        <v>0.18462828979368043</v>
      </c>
      <c r="H264" s="138"/>
      <c r="I264" s="138"/>
      <c r="J264" s="71">
        <f t="shared" si="271"/>
        <v>687000.28125000012</v>
      </c>
      <c r="K264" s="76">
        <f t="shared" si="271"/>
        <v>0.57073122768924311</v>
      </c>
      <c r="L264" s="69"/>
      <c r="M264" s="138">
        <f t="shared" si="272"/>
        <v>56418580.748999998</v>
      </c>
      <c r="N264" s="71">
        <f t="shared" si="272"/>
        <v>2351465.4191154176</v>
      </c>
      <c r="O264" s="138">
        <f t="shared" si="282"/>
        <v>1664465.1378654176</v>
      </c>
      <c r="P264" s="76">
        <f t="shared" si="283"/>
        <v>0.70784163965786151</v>
      </c>
      <c r="Q264" s="76">
        <f t="shared" si="284"/>
        <v>0.29215836034213849</v>
      </c>
      <c r="R264" s="76">
        <f t="shared" si="285"/>
        <v>0</v>
      </c>
      <c r="S264" s="76">
        <f t="shared" si="286"/>
        <v>0.29215836034213849</v>
      </c>
      <c r="T264" s="76">
        <f t="shared" si="287"/>
        <v>-0.29215836034213849</v>
      </c>
      <c r="U264" s="237"/>
      <c r="V264" s="239"/>
      <c r="W264" s="239"/>
      <c r="X264" s="239"/>
      <c r="Y264" s="240"/>
      <c r="Z264" s="240"/>
      <c r="AA264" s="240"/>
      <c r="AB264" s="240"/>
      <c r="AC264" s="240"/>
      <c r="AD264" s="240"/>
      <c r="AE264" s="240"/>
      <c r="AF264" s="240"/>
      <c r="AG264" s="240"/>
      <c r="AH264" s="240"/>
      <c r="AI264" s="240"/>
      <c r="AJ264" s="240"/>
      <c r="AK264" s="240"/>
      <c r="AL264" s="240"/>
      <c r="AM264" s="240"/>
      <c r="AN264" s="240"/>
      <c r="AO264" s="240"/>
      <c r="AP264" s="240"/>
      <c r="AQ264" s="240"/>
      <c r="AR264" s="240"/>
      <c r="AS264" s="240"/>
      <c r="AT264" s="240"/>
      <c r="AU264" s="240"/>
      <c r="AV264" s="240"/>
      <c r="AW264" s="240"/>
      <c r="AX264" s="240"/>
      <c r="AY264" s="240"/>
      <c r="AZ264" s="240"/>
      <c r="BA264" s="240"/>
      <c r="BB264" s="240"/>
      <c r="BC264" s="240"/>
      <c r="BD264" s="240"/>
      <c r="BE264" s="240"/>
      <c r="BF264" s="240"/>
      <c r="BG264" s="240"/>
      <c r="BH264" s="240"/>
    </row>
  </sheetData>
  <autoFilter ref="B4:BJ264"/>
  <pageMargins left="0.7" right="0.7" top="0.75" bottom="0.75" header="0.3" footer="0.3"/>
  <pageSetup orientation="landscape" r:id="rId1"/>
  <headerFooter>
    <oddHeader>&amp;CFiled: 2016-10-26, EB-2016-0152
Exhibit L, Tab 11.1, Schedule 1 Staff-246
Attachment 2</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F25"/>
  <sheetViews>
    <sheetView showGridLines="0" tabSelected="1" view="pageLayout" zoomScaleNormal="100" workbookViewId="0">
      <selection activeCell="A2" sqref="A2"/>
    </sheetView>
  </sheetViews>
  <sheetFormatPr defaultRowHeight="12.75"/>
  <cols>
    <col min="1" max="1" width="2.85546875" customWidth="1"/>
    <col min="2" max="2" width="31.140625" bestFit="1" customWidth="1"/>
    <col min="3" max="3" width="7.28515625" bestFit="1" customWidth="1"/>
    <col min="4" max="4" width="20.5703125" bestFit="1" customWidth="1"/>
    <col min="5" max="5" width="42.7109375" bestFit="1" customWidth="1"/>
  </cols>
  <sheetData>
    <row r="1" spans="2:6" ht="13.5" thickBot="1"/>
    <row r="2" spans="2:6" ht="15">
      <c r="B2" s="102" t="s">
        <v>94</v>
      </c>
      <c r="C2" s="103"/>
      <c r="D2" s="103"/>
      <c r="E2" s="104"/>
    </row>
    <row r="3" spans="2:6" ht="24" customHeight="1">
      <c r="B3" s="92" t="s">
        <v>93</v>
      </c>
      <c r="C3" s="83" t="s">
        <v>22</v>
      </c>
      <c r="D3" s="83" t="s">
        <v>137</v>
      </c>
      <c r="E3" s="93" t="s">
        <v>146</v>
      </c>
    </row>
    <row r="4" spans="2:6" ht="13.5">
      <c r="B4" s="94">
        <v>1</v>
      </c>
      <c r="C4" s="95">
        <v>0</v>
      </c>
      <c r="D4" s="96" t="s">
        <v>31</v>
      </c>
      <c r="E4" s="97" t="s">
        <v>105</v>
      </c>
      <c r="F4" s="18" t="s">
        <v>213</v>
      </c>
    </row>
    <row r="5" spans="2:6" ht="13.5">
      <c r="B5" s="94">
        <v>1</v>
      </c>
      <c r="C5" s="95">
        <f>C4+1</f>
        <v>1</v>
      </c>
      <c r="D5" s="96" t="s">
        <v>122</v>
      </c>
      <c r="E5" s="97" t="s">
        <v>124</v>
      </c>
      <c r="F5" s="18" t="s">
        <v>214</v>
      </c>
    </row>
    <row r="6" spans="2:6" ht="13.5">
      <c r="B6" s="94">
        <v>1</v>
      </c>
      <c r="C6" s="95">
        <f t="shared" ref="C6:C23" si="0">C5+1</f>
        <v>2</v>
      </c>
      <c r="D6" s="96" t="s">
        <v>123</v>
      </c>
      <c r="E6" s="97" t="s">
        <v>125</v>
      </c>
      <c r="F6" s="18" t="s">
        <v>214</v>
      </c>
    </row>
    <row r="7" spans="2:6" ht="13.5">
      <c r="B7" s="94">
        <v>1</v>
      </c>
      <c r="C7" s="95">
        <f t="shared" si="0"/>
        <v>3</v>
      </c>
      <c r="D7" s="96" t="s">
        <v>138</v>
      </c>
      <c r="E7" s="97" t="s">
        <v>126</v>
      </c>
      <c r="F7" s="18" t="s">
        <v>214</v>
      </c>
    </row>
    <row r="8" spans="2:6" ht="13.5">
      <c r="B8" s="94">
        <v>1</v>
      </c>
      <c r="C8" s="95">
        <f t="shared" si="0"/>
        <v>4</v>
      </c>
      <c r="D8" s="96" t="s">
        <v>139</v>
      </c>
      <c r="E8" s="97" t="s">
        <v>127</v>
      </c>
      <c r="F8" s="18" t="s">
        <v>214</v>
      </c>
    </row>
    <row r="9" spans="2:6" ht="13.5">
      <c r="B9" s="94">
        <v>1</v>
      </c>
      <c r="C9" s="95">
        <f t="shared" si="0"/>
        <v>5</v>
      </c>
      <c r="D9" s="96" t="s">
        <v>140</v>
      </c>
      <c r="E9" s="97" t="s">
        <v>128</v>
      </c>
      <c r="F9" s="18" t="s">
        <v>214</v>
      </c>
    </row>
    <row r="10" spans="2:6" ht="13.5">
      <c r="B10" s="94">
        <v>1</v>
      </c>
      <c r="C10" s="95">
        <f t="shared" si="0"/>
        <v>6</v>
      </c>
      <c r="D10" s="96" t="s">
        <v>141</v>
      </c>
      <c r="E10" s="97" t="s">
        <v>129</v>
      </c>
      <c r="F10" s="18" t="s">
        <v>214</v>
      </c>
    </row>
    <row r="11" spans="2:6" ht="13.5">
      <c r="B11" s="94">
        <v>1</v>
      </c>
      <c r="C11" s="95">
        <f t="shared" si="0"/>
        <v>7</v>
      </c>
      <c r="D11" s="96" t="s">
        <v>142</v>
      </c>
      <c r="E11" s="97" t="s">
        <v>130</v>
      </c>
      <c r="F11" s="18" t="s">
        <v>214</v>
      </c>
    </row>
    <row r="12" spans="2:6" ht="13.5">
      <c r="B12" s="94">
        <v>1</v>
      </c>
      <c r="C12" s="95">
        <f t="shared" si="0"/>
        <v>8</v>
      </c>
      <c r="D12" s="96" t="s">
        <v>121</v>
      </c>
      <c r="E12" s="97" t="s">
        <v>121</v>
      </c>
      <c r="F12" s="369" t="s">
        <v>214</v>
      </c>
    </row>
    <row r="13" spans="2:6" ht="13.5">
      <c r="B13" s="94">
        <v>1</v>
      </c>
      <c r="C13" s="95">
        <f t="shared" si="0"/>
        <v>9</v>
      </c>
      <c r="D13" s="96" t="s">
        <v>143</v>
      </c>
      <c r="E13" s="97" t="s">
        <v>131</v>
      </c>
      <c r="F13" s="369" t="s">
        <v>214</v>
      </c>
    </row>
    <row r="14" spans="2:6" ht="13.5">
      <c r="B14" s="94">
        <v>1</v>
      </c>
      <c r="C14" s="95">
        <f t="shared" si="0"/>
        <v>10</v>
      </c>
      <c r="D14" s="96" t="s">
        <v>144</v>
      </c>
      <c r="E14" s="97" t="s">
        <v>132</v>
      </c>
      <c r="F14" s="369" t="s">
        <v>214</v>
      </c>
    </row>
    <row r="15" spans="2:6" ht="13.5">
      <c r="B15" s="94">
        <v>1</v>
      </c>
      <c r="C15" s="95">
        <f t="shared" si="0"/>
        <v>11</v>
      </c>
      <c r="D15" s="96" t="s">
        <v>145</v>
      </c>
      <c r="E15" s="97" t="s">
        <v>133</v>
      </c>
      <c r="F15" s="369" t="s">
        <v>214</v>
      </c>
    </row>
    <row r="16" spans="2:6" ht="13.5">
      <c r="B16" s="94">
        <v>1</v>
      </c>
      <c r="C16" s="95">
        <f t="shared" si="0"/>
        <v>12</v>
      </c>
      <c r="D16" s="96" t="s">
        <v>149</v>
      </c>
      <c r="E16" s="97" t="s">
        <v>134</v>
      </c>
      <c r="F16" s="369" t="s">
        <v>214</v>
      </c>
    </row>
    <row r="17" spans="2:6" ht="13.5">
      <c r="B17" s="94">
        <v>1</v>
      </c>
      <c r="C17" s="95">
        <f t="shared" si="0"/>
        <v>13</v>
      </c>
      <c r="D17" s="96" t="s">
        <v>147</v>
      </c>
      <c r="E17" s="97" t="s">
        <v>135</v>
      </c>
      <c r="F17" s="369" t="s">
        <v>214</v>
      </c>
    </row>
    <row r="18" spans="2:6" ht="13.5">
      <c r="B18" s="94">
        <v>0</v>
      </c>
      <c r="C18" s="95">
        <f t="shared" si="0"/>
        <v>14</v>
      </c>
      <c r="D18" s="96" t="s">
        <v>148</v>
      </c>
      <c r="E18" s="97" t="s">
        <v>136</v>
      </c>
      <c r="F18" s="369" t="s">
        <v>214</v>
      </c>
    </row>
    <row r="19" spans="2:6" ht="13.5">
      <c r="B19" s="94">
        <v>1</v>
      </c>
      <c r="C19" s="95">
        <f t="shared" si="0"/>
        <v>15</v>
      </c>
      <c r="D19" s="96" t="s">
        <v>226</v>
      </c>
      <c r="E19" s="97" t="s">
        <v>227</v>
      </c>
      <c r="F19" s="369" t="s">
        <v>214</v>
      </c>
    </row>
    <row r="20" spans="2:6" ht="13.5">
      <c r="B20" s="94">
        <v>1</v>
      </c>
      <c r="C20" s="95">
        <f t="shared" si="0"/>
        <v>16</v>
      </c>
      <c r="D20" s="96" t="s">
        <v>228</v>
      </c>
      <c r="E20" s="97" t="s">
        <v>229</v>
      </c>
      <c r="F20" s="369" t="s">
        <v>214</v>
      </c>
    </row>
    <row r="21" spans="2:6" ht="13.5">
      <c r="B21" s="94">
        <v>0</v>
      </c>
      <c r="C21" s="95">
        <f t="shared" si="0"/>
        <v>17</v>
      </c>
      <c r="D21" s="96" t="s">
        <v>274</v>
      </c>
      <c r="E21" s="97" t="s">
        <v>275</v>
      </c>
      <c r="F21" s="369" t="s">
        <v>214</v>
      </c>
    </row>
    <row r="22" spans="2:6" ht="13.5">
      <c r="B22" s="94">
        <v>1</v>
      </c>
      <c r="C22" s="95">
        <f t="shared" si="0"/>
        <v>18</v>
      </c>
      <c r="D22" s="96" t="s">
        <v>150</v>
      </c>
      <c r="E22" s="97" t="s">
        <v>151</v>
      </c>
      <c r="F22" s="18" t="s">
        <v>215</v>
      </c>
    </row>
    <row r="23" spans="2:6" ht="14.25" thickBot="1">
      <c r="B23" s="98">
        <v>1</v>
      </c>
      <c r="C23" s="99">
        <f t="shared" si="0"/>
        <v>19</v>
      </c>
      <c r="D23" s="100" t="s">
        <v>230</v>
      </c>
      <c r="E23" s="101" t="s">
        <v>231</v>
      </c>
      <c r="F23" s="18" t="s">
        <v>214</v>
      </c>
    </row>
    <row r="25" spans="2:6" ht="13.5">
      <c r="B25" s="95"/>
      <c r="C25" s="95"/>
      <c r="D25" s="96"/>
    </row>
  </sheetData>
  <pageMargins left="0.7" right="0.7" top="0.75" bottom="0.75" header="0.3" footer="0.3"/>
  <pageSetup orientation="portrait" r:id="rId1"/>
  <headerFooter>
    <oddHeader>&amp;CFiled: 2016-10-26, EB-2016-0152
Exhibit L, Tab 11.1, Schedule 1 Staff-246
Attachment 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Z58"/>
  <sheetViews>
    <sheetView showGridLines="0" tabSelected="1" view="pageLayout" zoomScaleNormal="100" workbookViewId="0">
      <selection activeCell="A2" sqref="A2"/>
    </sheetView>
  </sheetViews>
  <sheetFormatPr defaultRowHeight="13.5"/>
  <cols>
    <col min="1" max="1" width="2.85546875" style="1" customWidth="1"/>
    <col min="2" max="2" width="9.140625" style="1" customWidth="1"/>
    <col min="3" max="5" width="9.140625" style="1"/>
    <col min="6" max="6" width="9.140625" style="1" hidden="1" customWidth="1"/>
    <col min="7" max="7" width="9.140625" style="1"/>
    <col min="8" max="8" width="5" style="1" bestFit="1" customWidth="1"/>
    <col min="9" max="11" width="9.140625" style="1" customWidth="1"/>
    <col min="12" max="13" width="5" style="1" customWidth="1"/>
    <col min="14" max="16" width="9.140625" style="1" customWidth="1"/>
    <col min="17" max="17" width="5" style="1" customWidth="1"/>
    <col min="18" max="18" width="5" style="1" bestFit="1" customWidth="1"/>
    <col min="19" max="21" width="9.140625" style="1" customWidth="1"/>
    <col min="22" max="22" width="5" style="1" customWidth="1"/>
    <col min="23" max="23" width="5" style="1" bestFit="1" customWidth="1"/>
    <col min="24" max="26" width="9.140625" style="1" customWidth="1"/>
    <col min="27" max="16384" width="9.140625" style="1"/>
  </cols>
  <sheetData>
    <row r="1" spans="2:26">
      <c r="B1" s="1" t="s">
        <v>209</v>
      </c>
      <c r="K1" s="333" t="s">
        <v>210</v>
      </c>
      <c r="L1" s="321">
        <f>TFP_dataset!$K$1</f>
        <v>0.16229598401067521</v>
      </c>
    </row>
    <row r="2" spans="2:26">
      <c r="K2" s="333" t="s">
        <v>211</v>
      </c>
      <c r="L2" s="322">
        <f>1-L1</f>
        <v>0.83770401598932476</v>
      </c>
    </row>
    <row r="3" spans="2:26" ht="14.25" thickBot="1">
      <c r="N3" s="429" t="s">
        <v>247</v>
      </c>
      <c r="O3" s="429"/>
      <c r="P3" s="429"/>
      <c r="Q3" s="429"/>
      <c r="R3" s="429"/>
      <c r="S3" s="429"/>
      <c r="T3" s="429"/>
      <c r="U3" s="429"/>
      <c r="V3" s="429"/>
      <c r="W3" s="429"/>
      <c r="X3" s="429"/>
      <c r="Y3" s="429"/>
      <c r="Z3" s="429"/>
    </row>
    <row r="4" spans="2:26">
      <c r="B4" s="151"/>
      <c r="C4" s="152" t="s">
        <v>215</v>
      </c>
      <c r="D4" s="152" t="s">
        <v>213</v>
      </c>
      <c r="E4" s="153" t="s">
        <v>214</v>
      </c>
      <c r="F4" s="147"/>
      <c r="G4" s="150"/>
      <c r="I4" s="281" t="s">
        <v>215</v>
      </c>
      <c r="J4" s="282" t="s">
        <v>215</v>
      </c>
      <c r="K4" s="283" t="s">
        <v>215</v>
      </c>
      <c r="N4" s="281" t="s">
        <v>215</v>
      </c>
      <c r="O4" s="282" t="s">
        <v>215</v>
      </c>
      <c r="P4" s="283" t="s">
        <v>215</v>
      </c>
      <c r="S4" s="310" t="s">
        <v>213</v>
      </c>
      <c r="T4" s="311" t="s">
        <v>213</v>
      </c>
      <c r="U4" s="312" t="s">
        <v>213</v>
      </c>
      <c r="X4" s="310" t="s">
        <v>214</v>
      </c>
      <c r="Y4" s="311" t="s">
        <v>214</v>
      </c>
      <c r="Z4" s="312" t="s">
        <v>214</v>
      </c>
    </row>
    <row r="5" spans="2:26" ht="75">
      <c r="B5" s="92" t="s">
        <v>4</v>
      </c>
      <c r="C5" s="154" t="s">
        <v>107</v>
      </c>
      <c r="D5" s="154" t="s">
        <v>107</v>
      </c>
      <c r="E5" s="155" t="s">
        <v>107</v>
      </c>
      <c r="F5" s="154" t="s">
        <v>223</v>
      </c>
      <c r="G5" s="136"/>
      <c r="I5" s="299" t="s">
        <v>95</v>
      </c>
      <c r="J5" s="300" t="s">
        <v>97</v>
      </c>
      <c r="K5" s="301" t="s">
        <v>246</v>
      </c>
      <c r="N5" s="299" t="s">
        <v>244</v>
      </c>
      <c r="O5" s="300" t="s">
        <v>245</v>
      </c>
      <c r="P5" s="301" t="s">
        <v>108</v>
      </c>
      <c r="S5" s="302" t="str">
        <f>'Can O&amp;M price indexes'!D4</f>
        <v>(Ontario)
Industrial Labour Index Growth</v>
      </c>
      <c r="T5" s="303" t="str">
        <f>'Can O&amp;M price indexes'!H4</f>
        <v>(Canada)
GDP-IPI FDD Growth</v>
      </c>
      <c r="U5" s="304" t="str">
        <f>'Can O&amp;M price indexes'!M4</f>
        <v>O&amp;M Price Index Growth</v>
      </c>
      <c r="X5" s="299" t="str">
        <f>'US O&amp;M price indexes'!D4</f>
        <v>(USA)
Labour Index Growth</v>
      </c>
      <c r="Y5" s="300" t="str">
        <f>'US O&amp;M price indexes'!F4</f>
        <v>(USA)
GDP-PI Growth</v>
      </c>
      <c r="Z5" s="301" t="str">
        <f>'US O&amp;M price indexes'!J4</f>
        <v>O&amp;M Price Index Growth</v>
      </c>
    </row>
    <row r="6" spans="2:26" ht="15" hidden="1">
      <c r="B6" s="156">
        <v>1991</v>
      </c>
      <c r="C6" s="158"/>
      <c r="D6" s="159"/>
      <c r="E6" s="160"/>
      <c r="F6" s="157"/>
      <c r="G6" s="21"/>
      <c r="I6" s="284"/>
      <c r="J6" s="159"/>
      <c r="K6" s="285"/>
      <c r="N6" s="21"/>
      <c r="O6" s="22"/>
      <c r="P6" s="22"/>
      <c r="S6" s="305"/>
      <c r="T6" s="306"/>
      <c r="U6" s="285"/>
      <c r="X6" s="21"/>
      <c r="Y6" s="22"/>
      <c r="Z6" s="22"/>
    </row>
    <row r="7" spans="2:26" ht="15" hidden="1">
      <c r="B7" s="156">
        <v>1992</v>
      </c>
      <c r="C7" s="158"/>
      <c r="D7" s="159"/>
      <c r="E7" s="160"/>
      <c r="F7" s="157"/>
      <c r="G7" s="21"/>
      <c r="I7" s="284"/>
      <c r="J7" s="159"/>
      <c r="K7" s="285"/>
      <c r="N7" s="21"/>
      <c r="O7" s="22"/>
      <c r="P7" s="22"/>
      <c r="S7" s="305"/>
      <c r="T7" s="306"/>
      <c r="U7" s="285"/>
      <c r="X7" s="21"/>
      <c r="Y7" s="22"/>
      <c r="Z7" s="22"/>
    </row>
    <row r="8" spans="2:26" ht="15" hidden="1">
      <c r="B8" s="156">
        <v>1993</v>
      </c>
      <c r="C8" s="158"/>
      <c r="D8" s="159"/>
      <c r="E8" s="160"/>
      <c r="F8" s="157"/>
      <c r="G8" s="21"/>
      <c r="I8" s="284"/>
      <c r="J8" s="159"/>
      <c r="K8" s="285"/>
      <c r="N8" s="21"/>
      <c r="O8" s="22"/>
      <c r="P8" s="22"/>
      <c r="S8" s="305"/>
      <c r="T8" s="306"/>
      <c r="U8" s="285"/>
      <c r="X8" s="21"/>
      <c r="Y8" s="22"/>
      <c r="Z8" s="22"/>
    </row>
    <row r="9" spans="2:26" ht="15" hidden="1">
      <c r="B9" s="156">
        <v>1994</v>
      </c>
      <c r="C9" s="158"/>
      <c r="D9" s="159"/>
      <c r="E9" s="160"/>
      <c r="F9" s="157"/>
      <c r="G9" s="21"/>
      <c r="I9" s="284"/>
      <c r="J9" s="159"/>
      <c r="K9" s="285"/>
      <c r="N9" s="21"/>
      <c r="O9" s="22"/>
      <c r="P9" s="22"/>
      <c r="S9" s="305"/>
      <c r="T9" s="306"/>
      <c r="U9" s="285"/>
      <c r="X9" s="21"/>
      <c r="Y9" s="22"/>
      <c r="Z9" s="22"/>
    </row>
    <row r="10" spans="2:26" ht="15" hidden="1">
      <c r="B10" s="156">
        <v>1995</v>
      </c>
      <c r="C10" s="158"/>
      <c r="D10" s="159"/>
      <c r="E10" s="160"/>
      <c r="F10" s="157"/>
      <c r="G10" s="21"/>
      <c r="I10" s="284"/>
      <c r="J10" s="159"/>
      <c r="K10" s="285"/>
      <c r="N10" s="21"/>
      <c r="O10" s="22"/>
      <c r="P10" s="22"/>
      <c r="S10" s="305"/>
      <c r="T10" s="306"/>
      <c r="U10" s="285"/>
      <c r="X10" s="21"/>
      <c r="Y10" s="22"/>
      <c r="Z10" s="22"/>
    </row>
    <row r="11" spans="2:26" ht="15" hidden="1">
      <c r="B11" s="156">
        <v>1996</v>
      </c>
      <c r="C11" s="158"/>
      <c r="D11" s="159"/>
      <c r="E11" s="160"/>
      <c r="F11" s="157"/>
      <c r="G11" s="21"/>
      <c r="I11" s="284"/>
      <c r="J11" s="159"/>
      <c r="K11" s="285"/>
      <c r="N11" s="21"/>
      <c r="O11" s="22"/>
      <c r="P11" s="22"/>
      <c r="S11" s="305"/>
      <c r="T11" s="306"/>
      <c r="U11" s="285"/>
      <c r="X11" s="21"/>
      <c r="Y11" s="22"/>
      <c r="Z11" s="22"/>
    </row>
    <row r="12" spans="2:26" ht="15" hidden="1">
      <c r="B12" s="156">
        <v>1997</v>
      </c>
      <c r="C12" s="158"/>
      <c r="D12" s="159"/>
      <c r="E12" s="160"/>
      <c r="F12" s="157"/>
      <c r="G12" s="21"/>
      <c r="I12" s="284"/>
      <c r="J12" s="159"/>
      <c r="K12" s="285"/>
      <c r="N12" s="21"/>
      <c r="O12" s="22"/>
      <c r="P12" s="22"/>
      <c r="S12" s="305"/>
      <c r="T12" s="306"/>
      <c r="U12" s="285"/>
      <c r="X12" s="21"/>
      <c r="Y12" s="22"/>
      <c r="Z12" s="22"/>
    </row>
    <row r="13" spans="2:26" ht="15" hidden="1">
      <c r="B13" s="156">
        <v>1998</v>
      </c>
      <c r="C13" s="158"/>
      <c r="D13" s="159"/>
      <c r="E13" s="160"/>
      <c r="F13" s="157"/>
      <c r="G13" s="21"/>
      <c r="I13" s="284"/>
      <c r="J13" s="159"/>
      <c r="K13" s="285"/>
      <c r="N13" s="21"/>
      <c r="O13" s="22"/>
      <c r="P13" s="22"/>
      <c r="S13" s="305"/>
      <c r="T13" s="306"/>
      <c r="U13" s="285"/>
      <c r="X13" s="21"/>
      <c r="Y13" s="22"/>
      <c r="Z13" s="22"/>
    </row>
    <row r="14" spans="2:26" ht="15" hidden="1">
      <c r="B14" s="156">
        <v>1999</v>
      </c>
      <c r="C14" s="158"/>
      <c r="D14" s="159"/>
      <c r="E14" s="160"/>
      <c r="F14" s="157"/>
      <c r="G14" s="21"/>
      <c r="I14" s="284"/>
      <c r="J14" s="159"/>
      <c r="K14" s="285"/>
      <c r="N14" s="21"/>
      <c r="O14" s="22"/>
      <c r="P14" s="22"/>
      <c r="S14" s="305"/>
      <c r="T14" s="306"/>
      <c r="U14" s="285"/>
      <c r="X14" s="21"/>
      <c r="Y14" s="22"/>
      <c r="Z14" s="22"/>
    </row>
    <row r="15" spans="2:26" ht="15" hidden="1">
      <c r="B15" s="156">
        <v>2000</v>
      </c>
      <c r="C15" s="158"/>
      <c r="D15" s="159"/>
      <c r="E15" s="160"/>
      <c r="F15" s="157"/>
      <c r="G15" s="21"/>
      <c r="I15" s="284"/>
      <c r="J15" s="159"/>
      <c r="K15" s="285"/>
      <c r="N15" s="21"/>
      <c r="O15" s="22"/>
      <c r="P15" s="22"/>
      <c r="S15" s="305"/>
      <c r="T15" s="306"/>
      <c r="U15" s="285"/>
      <c r="X15" s="21"/>
      <c r="Y15" s="22"/>
      <c r="Z15" s="22"/>
    </row>
    <row r="16" spans="2:26" ht="15" hidden="1">
      <c r="B16" s="156">
        <v>2001</v>
      </c>
      <c r="C16" s="158"/>
      <c r="D16" s="159"/>
      <c r="E16" s="160"/>
      <c r="F16" s="157"/>
      <c r="G16" s="21"/>
      <c r="I16" s="284"/>
      <c r="J16" s="159"/>
      <c r="K16" s="285"/>
      <c r="N16" s="21"/>
      <c r="O16" s="22"/>
      <c r="P16" s="22"/>
      <c r="S16" s="305"/>
      <c r="T16" s="306"/>
      <c r="U16" s="285"/>
      <c r="X16" s="21"/>
      <c r="Y16" s="22"/>
      <c r="Z16" s="22"/>
    </row>
    <row r="17" spans="2:26" ht="15">
      <c r="B17" s="156">
        <v>2002</v>
      </c>
      <c r="C17" s="161">
        <f>K17</f>
        <v>1</v>
      </c>
      <c r="D17" s="159">
        <f>'Can O&amp;M price indexes'!N15</f>
        <v>1</v>
      </c>
      <c r="E17" s="160">
        <f>'US O&amp;M price indexes'!K14</f>
        <v>1</v>
      </c>
      <c r="F17" s="174">
        <f>TFP_dataset!J5/TFP_dataset!J239</f>
        <v>0.16562917426750851</v>
      </c>
      <c r="G17" s="21"/>
      <c r="H17" s="291">
        <f t="shared" ref="H17:H29" si="0">B17</f>
        <v>2002</v>
      </c>
      <c r="I17" s="286">
        <v>1</v>
      </c>
      <c r="J17" s="280">
        <v>1</v>
      </c>
      <c r="K17" s="287">
        <v>1</v>
      </c>
      <c r="L17" s="66"/>
      <c r="M17" s="291">
        <f t="shared" ref="M17:M27" si="1">B17</f>
        <v>2002</v>
      </c>
      <c r="N17" s="294">
        <f t="shared" ref="N17:N29" si="2">$L$1*S17+$L$2*X17</f>
        <v>1</v>
      </c>
      <c r="O17" s="294">
        <f t="shared" ref="O17:O29" si="3">$L$1*T17+$L$2*Y17</f>
        <v>1</v>
      </c>
      <c r="P17" s="295">
        <f t="shared" ref="P17:P29" si="4">$L$1*U17+$L$2*Z17</f>
        <v>1</v>
      </c>
      <c r="R17" s="291">
        <f t="shared" ref="R17:R27" si="5">B17</f>
        <v>2002</v>
      </c>
      <c r="S17" s="305">
        <f>'Can O&amp;M price indexes'!D15</f>
        <v>1</v>
      </c>
      <c r="T17" s="159">
        <f>'Can O&amp;M price indexes'!H15</f>
        <v>1</v>
      </c>
      <c r="U17" s="285">
        <f>'Can O&amp;M price indexes'!M15</f>
        <v>1</v>
      </c>
      <c r="V17" s="66"/>
      <c r="W17" s="313">
        <f t="shared" ref="W17:W27" si="6">B17</f>
        <v>2002</v>
      </c>
      <c r="X17" s="314">
        <f>'US O&amp;M price indexes'!D14</f>
        <v>1</v>
      </c>
      <c r="Y17" s="314">
        <f>'US O&amp;M price indexes'!F14</f>
        <v>1</v>
      </c>
      <c r="Z17" s="315">
        <f>'US O&amp;M price indexes'!J14</f>
        <v>1</v>
      </c>
    </row>
    <row r="18" spans="2:26" ht="15">
      <c r="B18" s="156">
        <v>2003</v>
      </c>
      <c r="C18" s="161">
        <f>K18</f>
        <v>1.0239976563258935</v>
      </c>
      <c r="D18" s="159">
        <f>'Can O&amp;M price indexes'!N16</f>
        <v>1.0216477671655084</v>
      </c>
      <c r="E18" s="160">
        <f>'US O&amp;M price indexes'!K15</f>
        <v>1.024452921630012</v>
      </c>
      <c r="F18" s="174">
        <f>TFP_dataset!J6/TFP_dataset!J240</f>
        <v>0.16403283883757083</v>
      </c>
      <c r="G18" s="21"/>
      <c r="H18" s="292">
        <f t="shared" si="0"/>
        <v>2003</v>
      </c>
      <c r="I18" s="286">
        <f>I17*N18</f>
        <v>1.026706484275699</v>
      </c>
      <c r="J18" s="280">
        <f t="shared" ref="J18:K26" si="7">J17*O18</f>
        <v>1.0194423787412932</v>
      </c>
      <c r="K18" s="287">
        <f t="shared" si="7"/>
        <v>1.0239976563258935</v>
      </c>
      <c r="M18" s="292">
        <f t="shared" si="1"/>
        <v>2003</v>
      </c>
      <c r="N18" s="161">
        <f t="shared" si="2"/>
        <v>1.026706484275699</v>
      </c>
      <c r="O18" s="161">
        <f t="shared" si="3"/>
        <v>1.0194423787412932</v>
      </c>
      <c r="P18" s="296">
        <f t="shared" si="4"/>
        <v>1.0239976563258935</v>
      </c>
      <c r="R18" s="292">
        <f t="shared" si="5"/>
        <v>2003</v>
      </c>
      <c r="S18" s="305">
        <f>'Can O&amp;M price indexes'!D16</f>
        <v>1.024631789216031</v>
      </c>
      <c r="T18" s="159">
        <f>'Can O&amp;M price indexes'!H16</f>
        <v>1.0166297117516629</v>
      </c>
      <c r="U18" s="285">
        <f>'Can O&amp;M price indexes'!M16</f>
        <v>1.0216477671655084</v>
      </c>
      <c r="W18" s="316">
        <f t="shared" si="6"/>
        <v>2003</v>
      </c>
      <c r="X18" s="158">
        <f>'US O&amp;M price indexes'!D15</f>
        <v>1.0271084337349399</v>
      </c>
      <c r="Y18" s="158">
        <f>'US O&amp;M price indexes'!F15</f>
        <v>1.0199873021844945</v>
      </c>
      <c r="Z18" s="317">
        <f>'US O&amp;M price indexes'!J15</f>
        <v>1.024452921630012</v>
      </c>
    </row>
    <row r="19" spans="2:26" ht="15">
      <c r="B19" s="156">
        <v>2004</v>
      </c>
      <c r="C19" s="161">
        <f t="shared" ref="C19:C26" si="8">K19</f>
        <v>1.0531521622551805</v>
      </c>
      <c r="D19" s="159">
        <f>'Can O&amp;M price indexes'!N17</f>
        <v>1.046469360323721</v>
      </c>
      <c r="E19" s="160">
        <f>'US O&amp;M price indexes'!K16</f>
        <v>1.054449151296214</v>
      </c>
      <c r="F19" s="174">
        <f>TFP_dataset!J7/TFP_dataset!J241</f>
        <v>0.16097393832711041</v>
      </c>
      <c r="G19" s="21"/>
      <c r="H19" s="292">
        <f t="shared" si="0"/>
        <v>2004</v>
      </c>
      <c r="I19" s="286">
        <f t="shared" ref="I19:I26" si="9">I18*N19</f>
        <v>1.0574646629231508</v>
      </c>
      <c r="J19" s="280">
        <f t="shared" si="7"/>
        <v>1.0459182447063569</v>
      </c>
      <c r="K19" s="287">
        <f t="shared" si="7"/>
        <v>1.0531521622551805</v>
      </c>
      <c r="M19" s="292">
        <f t="shared" si="1"/>
        <v>2004</v>
      </c>
      <c r="N19" s="161">
        <f t="shared" si="2"/>
        <v>1.0299581030396925</v>
      </c>
      <c r="O19" s="161">
        <f t="shared" si="3"/>
        <v>1.0259709293209425</v>
      </c>
      <c r="P19" s="296">
        <f t="shared" si="4"/>
        <v>1.0284712623600072</v>
      </c>
      <c r="R19" s="292">
        <f t="shared" si="5"/>
        <v>2004</v>
      </c>
      <c r="S19" s="305">
        <f>'Can O&amp;M price indexes'!D17</f>
        <v>1.0277190477498011</v>
      </c>
      <c r="T19" s="159">
        <f>'Can O&amp;M price indexes'!H17</f>
        <v>1.0185387131952017</v>
      </c>
      <c r="U19" s="285">
        <f>'Can O&amp;M price indexes'!M17</f>
        <v>1.0242956466562623</v>
      </c>
      <c r="W19" s="316">
        <f t="shared" si="6"/>
        <v>2004</v>
      </c>
      <c r="X19" s="158">
        <f>'US O&amp;M price indexes'!D16</f>
        <v>1.0303918954945348</v>
      </c>
      <c r="Y19" s="158">
        <f>'US O&amp;M price indexes'!F16</f>
        <v>1.0274108398460013</v>
      </c>
      <c r="Z19" s="317">
        <f>'US O&amp;M price indexes'!J16</f>
        <v>1.0292802421984164</v>
      </c>
    </row>
    <row r="20" spans="2:26" ht="15">
      <c r="B20" s="156">
        <v>2005</v>
      </c>
      <c r="C20" s="161">
        <f t="shared" si="8"/>
        <v>1.0841415691452099</v>
      </c>
      <c r="D20" s="159">
        <f>'Can O&amp;M price indexes'!N18</f>
        <v>1.0786967724726459</v>
      </c>
      <c r="E20" s="160">
        <f>'US O&amp;M price indexes'!K17</f>
        <v>1.0851966555201973</v>
      </c>
      <c r="F20" s="174">
        <f>TFP_dataset!J8/TFP_dataset!J242</f>
        <v>0.16416564005812706</v>
      </c>
      <c r="G20" s="21"/>
      <c r="H20" s="292">
        <f t="shared" si="0"/>
        <v>2005</v>
      </c>
      <c r="I20" s="286">
        <f t="shared" si="9"/>
        <v>1.088002370618764</v>
      </c>
      <c r="J20" s="280">
        <f t="shared" si="7"/>
        <v>1.0776571581083854</v>
      </c>
      <c r="K20" s="287">
        <f t="shared" si="7"/>
        <v>1.0841415691452099</v>
      </c>
      <c r="M20" s="292">
        <f t="shared" si="1"/>
        <v>2005</v>
      </c>
      <c r="N20" s="161">
        <f t="shared" si="2"/>
        <v>1.0288782299459518</v>
      </c>
      <c r="O20" s="161">
        <f t="shared" si="3"/>
        <v>1.0303455012498985</v>
      </c>
      <c r="P20" s="296">
        <f t="shared" si="4"/>
        <v>1.029425384099929</v>
      </c>
      <c r="R20" s="292">
        <f t="shared" si="5"/>
        <v>2005</v>
      </c>
      <c r="S20" s="305">
        <f>'Can O&amp;M price indexes'!D18</f>
        <v>1.0363760236183654</v>
      </c>
      <c r="T20" s="159">
        <f>'Can O&amp;M price indexes'!H18</f>
        <v>1.0214132762312633</v>
      </c>
      <c r="U20" s="285">
        <f>'Can O&amp;M price indexes'!M18</f>
        <v>1.0307963265536562</v>
      </c>
      <c r="W20" s="316">
        <f t="shared" si="6"/>
        <v>2005</v>
      </c>
      <c r="X20" s="158">
        <f>'US O&amp;M price indexes'!D17</f>
        <v>1.0274256144890039</v>
      </c>
      <c r="Y20" s="158">
        <f>'US O&amp;M price indexes'!F17</f>
        <v>1.0320760220796121</v>
      </c>
      <c r="Z20" s="317">
        <f>'US O&amp;M price indexes'!J17</f>
        <v>1.0291597790051668</v>
      </c>
    </row>
    <row r="21" spans="2:26" ht="15">
      <c r="B21" s="156">
        <v>2006</v>
      </c>
      <c r="C21" s="161">
        <f t="shared" si="8"/>
        <v>1.1155425348962305</v>
      </c>
      <c r="D21" s="159">
        <f>'Can O&amp;M price indexes'!N19</f>
        <v>1.099250227385117</v>
      </c>
      <c r="E21" s="160">
        <f>'US O&amp;M price indexes'!K18</f>
        <v>1.1187116934259167</v>
      </c>
      <c r="F21" s="174">
        <f>TFP_dataset!J9/TFP_dataset!J243</f>
        <v>0.17145756111302674</v>
      </c>
      <c r="G21" s="21"/>
      <c r="H21" s="292">
        <f t="shared" si="0"/>
        <v>2006</v>
      </c>
      <c r="I21" s="286">
        <f t="shared" si="9"/>
        <v>1.1190670533806486</v>
      </c>
      <c r="J21" s="280">
        <f t="shared" si="7"/>
        <v>1.1096166999897865</v>
      </c>
      <c r="K21" s="287">
        <f t="shared" si="7"/>
        <v>1.1155425348962305</v>
      </c>
      <c r="M21" s="292">
        <f t="shared" si="1"/>
        <v>2006</v>
      </c>
      <c r="N21" s="161">
        <f t="shared" si="2"/>
        <v>1.0285520359153424</v>
      </c>
      <c r="O21" s="161">
        <f t="shared" si="3"/>
        <v>1.0296565022010338</v>
      </c>
      <c r="P21" s="296">
        <f t="shared" si="4"/>
        <v>1.02896389793058</v>
      </c>
      <c r="R21" s="292">
        <f t="shared" si="5"/>
        <v>2006</v>
      </c>
      <c r="S21" s="305">
        <f>'Can O&amp;M price indexes'!D19</f>
        <v>1.0160479505027069</v>
      </c>
      <c r="T21" s="159">
        <f>'Can O&amp;M price indexes'!H19</f>
        <v>1.0241090146750524</v>
      </c>
      <c r="U21" s="285">
        <f>'Can O&amp;M price indexes'!M19</f>
        <v>1.0190539690457749</v>
      </c>
      <c r="W21" s="316">
        <f t="shared" si="6"/>
        <v>2006</v>
      </c>
      <c r="X21" s="158">
        <f>'US O&amp;M price indexes'!D18</f>
        <v>1.0309745656006042</v>
      </c>
      <c r="Y21" s="158">
        <f>'US O&amp;M price indexes'!F18</f>
        <v>1.0307312671891815</v>
      </c>
      <c r="Z21" s="317">
        <f>'US O&amp;M price indexes'!J18</f>
        <v>1.0308838381829086</v>
      </c>
    </row>
    <row r="22" spans="2:26" ht="15">
      <c r="B22" s="156">
        <v>2007</v>
      </c>
      <c r="C22" s="161">
        <f t="shared" si="8"/>
        <v>1.1497929725799951</v>
      </c>
      <c r="D22" s="159">
        <f>'Can O&amp;M price indexes'!N20</f>
        <v>1.1354504219317154</v>
      </c>
      <c r="E22" s="160">
        <f>'US O&amp;M price indexes'!K19</f>
        <v>1.1525763735895573</v>
      </c>
      <c r="F22" s="174">
        <f>TFP_dataset!J10/TFP_dataset!J244</f>
        <v>0.16582698176667091</v>
      </c>
      <c r="G22" s="21"/>
      <c r="H22" s="292">
        <f t="shared" si="0"/>
        <v>2007</v>
      </c>
      <c r="I22" s="286">
        <f t="shared" si="9"/>
        <v>1.1565167105233423</v>
      </c>
      <c r="J22" s="280">
        <f t="shared" si="7"/>
        <v>1.1385311284474808</v>
      </c>
      <c r="K22" s="287">
        <f t="shared" si="7"/>
        <v>1.1497929725799951</v>
      </c>
      <c r="M22" s="292">
        <f t="shared" si="1"/>
        <v>2007</v>
      </c>
      <c r="N22" s="161">
        <f t="shared" si="2"/>
        <v>1.0334650698808083</v>
      </c>
      <c r="O22" s="161">
        <f t="shared" si="3"/>
        <v>1.0260580328846534</v>
      </c>
      <c r="P22" s="296">
        <f t="shared" si="4"/>
        <v>1.0307029419429092</v>
      </c>
      <c r="R22" s="292">
        <f t="shared" si="5"/>
        <v>2007</v>
      </c>
      <c r="S22" s="305">
        <f>'Can O&amp;M price indexes'!D20</f>
        <v>1.0385156993339677</v>
      </c>
      <c r="T22" s="159">
        <f>'Can O&amp;M price indexes'!H20</f>
        <v>1.0235414534288638</v>
      </c>
      <c r="U22" s="285">
        <f>'Can O&amp;M price indexes'!M20</f>
        <v>1.0329317144038359</v>
      </c>
      <c r="W22" s="316">
        <f t="shared" si="6"/>
        <v>2007</v>
      </c>
      <c r="X22" s="158">
        <f>'US O&amp;M price indexes'!D19</f>
        <v>1.032486565705911</v>
      </c>
      <c r="Y22" s="158">
        <f>'US O&amp;M price indexes'!F19</f>
        <v>1.0265455926089984</v>
      </c>
      <c r="Z22" s="317">
        <f>'US O&amp;M price indexes'!J19</f>
        <v>1.0302711416736283</v>
      </c>
    </row>
    <row r="23" spans="2:26" ht="15">
      <c r="B23" s="156">
        <v>2008</v>
      </c>
      <c r="C23" s="161">
        <f t="shared" si="8"/>
        <v>1.1805970319625594</v>
      </c>
      <c r="D23" s="159">
        <f>'Can O&amp;M price indexes'!N21</f>
        <v>1.1628231376944895</v>
      </c>
      <c r="E23" s="160">
        <f>'US O&amp;M price indexes'!K20</f>
        <v>1.184054247945642</v>
      </c>
      <c r="F23" s="174">
        <f>TFP_dataset!J11/TFP_dataset!J245</f>
        <v>0.17142493945831824</v>
      </c>
      <c r="G23" s="21"/>
      <c r="H23" s="292">
        <f t="shared" si="0"/>
        <v>2008</v>
      </c>
      <c r="I23" s="286">
        <f t="shared" si="9"/>
        <v>1.1918836722930868</v>
      </c>
      <c r="J23" s="280">
        <f t="shared" si="7"/>
        <v>1.1617778476253522</v>
      </c>
      <c r="K23" s="287">
        <f t="shared" si="7"/>
        <v>1.1805970319625594</v>
      </c>
      <c r="M23" s="292">
        <f t="shared" si="1"/>
        <v>2008</v>
      </c>
      <c r="N23" s="161">
        <f t="shared" si="2"/>
        <v>1.0305805886313051</v>
      </c>
      <c r="O23" s="161">
        <f t="shared" si="3"/>
        <v>1.0204181674062536</v>
      </c>
      <c r="P23" s="296">
        <f t="shared" si="4"/>
        <v>1.0267909616054129</v>
      </c>
      <c r="R23" s="292">
        <f t="shared" si="5"/>
        <v>2008</v>
      </c>
      <c r="S23" s="305">
        <f>'Can O&amp;M price indexes'!D21</f>
        <v>1.0235765504941303</v>
      </c>
      <c r="T23" s="159">
        <f>'Can O&amp;M price indexes'!H21</f>
        <v>1.0249999999999999</v>
      </c>
      <c r="U23" s="285">
        <f>'Can O&amp;M price indexes'!M21</f>
        <v>1.0241073632402247</v>
      </c>
      <c r="W23" s="316">
        <f t="shared" si="6"/>
        <v>2008</v>
      </c>
      <c r="X23" s="158">
        <f>'US O&amp;M price indexes'!D20</f>
        <v>1.0319375443577006</v>
      </c>
      <c r="Y23" s="158">
        <f>'US O&amp;M price indexes'!F20</f>
        <v>1.0195304874916526</v>
      </c>
      <c r="Z23" s="317">
        <f>'US O&amp;M price indexes'!J20</f>
        <v>1.0273108794153489</v>
      </c>
    </row>
    <row r="24" spans="2:26" ht="15">
      <c r="B24" s="156">
        <v>2009</v>
      </c>
      <c r="C24" s="161">
        <f t="shared" si="8"/>
        <v>1.2033298140356607</v>
      </c>
      <c r="D24" s="159">
        <f>'Can O&amp;M price indexes'!N22</f>
        <v>1.177420350781766</v>
      </c>
      <c r="E24" s="160">
        <f>'US O&amp;M price indexes'!K21</f>
        <v>1.2083910392257591</v>
      </c>
      <c r="F24" s="174">
        <f>TFP_dataset!J12/TFP_dataset!J246</f>
        <v>0.17244503260073377</v>
      </c>
      <c r="G24" s="21"/>
      <c r="H24" s="292">
        <f t="shared" si="0"/>
        <v>2009</v>
      </c>
      <c r="I24" s="286">
        <f t="shared" si="9"/>
        <v>1.2225635020900261</v>
      </c>
      <c r="J24" s="280">
        <f t="shared" si="7"/>
        <v>1.1714779748136224</v>
      </c>
      <c r="K24" s="287">
        <f t="shared" si="7"/>
        <v>1.2033298140356607</v>
      </c>
      <c r="M24" s="292">
        <f t="shared" si="1"/>
        <v>2009</v>
      </c>
      <c r="N24" s="161">
        <f t="shared" si="2"/>
        <v>1.0257406242824971</v>
      </c>
      <c r="O24" s="161">
        <f t="shared" si="3"/>
        <v>1.0083493821199097</v>
      </c>
      <c r="P24" s="296">
        <f t="shared" si="4"/>
        <v>1.0192553271418205</v>
      </c>
      <c r="R24" s="292">
        <f t="shared" si="5"/>
        <v>2009</v>
      </c>
      <c r="S24" s="305">
        <f>'Can O&amp;M price indexes'!D22</f>
        <v>1.0130562948288002</v>
      </c>
      <c r="T24" s="159">
        <f>'Can O&amp;M price indexes'!H22</f>
        <v>1.0117073170731707</v>
      </c>
      <c r="U24" s="285">
        <f>'Can O&amp;M price indexes'!M22</f>
        <v>1.0125532530391665</v>
      </c>
      <c r="W24" s="316">
        <f t="shared" si="6"/>
        <v>2009</v>
      </c>
      <c r="X24" s="158">
        <f>'US O&amp;M price indexes'!D21</f>
        <v>1.028198074277854</v>
      </c>
      <c r="Y24" s="158">
        <f>'US O&amp;M price indexes'!F21</f>
        <v>1.0076988189769842</v>
      </c>
      <c r="Z24" s="317">
        <f>'US O&amp;M price indexes'!J21</f>
        <v>1.020553780641674</v>
      </c>
    </row>
    <row r="25" spans="2:26" ht="15">
      <c r="B25" s="156">
        <v>2010</v>
      </c>
      <c r="C25" s="161">
        <f t="shared" si="8"/>
        <v>1.228999758014313</v>
      </c>
      <c r="D25" s="159">
        <f>'Can O&amp;M price indexes'!N23</f>
        <v>1.2104167536102524</v>
      </c>
      <c r="E25" s="160">
        <f>'US O&amp;M price indexes'!K22</f>
        <v>1.2326022954546594</v>
      </c>
      <c r="F25" s="174">
        <f>TFP_dataset!J13/TFP_dataset!J247</f>
        <v>0.16021638628860491</v>
      </c>
      <c r="G25" s="21"/>
      <c r="H25" s="292">
        <f t="shared" si="0"/>
        <v>2010</v>
      </c>
      <c r="I25" s="286">
        <f t="shared" si="9"/>
        <v>1.2555257839367624</v>
      </c>
      <c r="J25" s="280">
        <f>J24*O25</f>
        <v>1.185378912642391</v>
      </c>
      <c r="K25" s="287">
        <f t="shared" si="7"/>
        <v>1.228999758014313</v>
      </c>
      <c r="M25" s="292">
        <f t="shared" si="1"/>
        <v>2010</v>
      </c>
      <c r="N25" s="161">
        <f t="shared" si="2"/>
        <v>1.0269616112295075</v>
      </c>
      <c r="O25" s="161">
        <f t="shared" si="3"/>
        <v>1.011866153805393</v>
      </c>
      <c r="P25" s="296">
        <f t="shared" si="4"/>
        <v>1.0213324258064893</v>
      </c>
      <c r="R25" s="292">
        <f t="shared" si="5"/>
        <v>2010</v>
      </c>
      <c r="S25" s="305">
        <f>'Can O&amp;M price indexes'!D23</f>
        <v>1.0383813394592682</v>
      </c>
      <c r="T25" s="159">
        <f>'Can O&amp;M price indexes'!H23</f>
        <v>1.0106075216972035</v>
      </c>
      <c r="U25" s="285">
        <f>'Can O&amp;M price indexes'!M23</f>
        <v>1.0280243184233888</v>
      </c>
      <c r="W25" s="316">
        <f t="shared" si="6"/>
        <v>2010</v>
      </c>
      <c r="X25" s="158">
        <f>'US O&amp;M price indexes'!D22</f>
        <v>1.0247491638795987</v>
      </c>
      <c r="Y25" s="158">
        <f>'US O&amp;M price indexes'!F22</f>
        <v>1.0121100000000001</v>
      </c>
      <c r="Z25" s="317">
        <f>'US O&amp;M price indexes'!J22</f>
        <v>1.0200359448580594</v>
      </c>
    </row>
    <row r="26" spans="2:26" ht="15">
      <c r="B26" s="156">
        <v>2011</v>
      </c>
      <c r="C26" s="161">
        <f t="shared" si="8"/>
        <v>1.2578553356811484</v>
      </c>
      <c r="D26" s="159">
        <f>'Can O&amp;M price indexes'!N24</f>
        <v>1.2315008058407915</v>
      </c>
      <c r="E26" s="160">
        <f>'US O&amp;M price indexes'!K23</f>
        <v>1.2629896221827595</v>
      </c>
      <c r="F26" s="174">
        <f>TFP_dataset!J14/TFP_dataset!J248</f>
        <v>0.1517752084325798</v>
      </c>
      <c r="G26" s="21"/>
      <c r="H26" s="292">
        <f t="shared" si="0"/>
        <v>2011</v>
      </c>
      <c r="I26" s="286">
        <f t="shared" si="9"/>
        <v>1.2873582565422959</v>
      </c>
      <c r="J26" s="280">
        <f>J25*O26</f>
        <v>1.2094727570897816</v>
      </c>
      <c r="K26" s="287">
        <f t="shared" si="7"/>
        <v>1.2578553356811484</v>
      </c>
      <c r="M26" s="292">
        <f t="shared" si="1"/>
        <v>2011</v>
      </c>
      <c r="N26" s="161">
        <f t="shared" si="2"/>
        <v>1.0253538979547845</v>
      </c>
      <c r="O26" s="161">
        <f t="shared" si="3"/>
        <v>1.0203258588375608</v>
      </c>
      <c r="P26" s="296">
        <f t="shared" si="4"/>
        <v>1.023478912407157</v>
      </c>
      <c r="R26" s="292">
        <f t="shared" si="5"/>
        <v>2011</v>
      </c>
      <c r="S26" s="305">
        <f>'Can O&amp;M price indexes'!D24</f>
        <v>1.0135915500947323</v>
      </c>
      <c r="T26" s="159">
        <f>'Can O&amp;M price indexes'!H24</f>
        <v>1.0238549618320612</v>
      </c>
      <c r="U26" s="285">
        <f>'Can O&amp;M price indexes'!M24</f>
        <v>1.0174188370804127</v>
      </c>
      <c r="W26" s="316">
        <f t="shared" si="6"/>
        <v>2011</v>
      </c>
      <c r="X26" s="158">
        <f>'US O&amp;M price indexes'!D23</f>
        <v>1.0276327241079199</v>
      </c>
      <c r="Y26" s="158">
        <f>'US O&amp;M price indexes'!F23</f>
        <v>1.0196421337601644</v>
      </c>
      <c r="Z26" s="317">
        <f>'US O&amp;M price indexes'!J23</f>
        <v>1.0246529856711741</v>
      </c>
    </row>
    <row r="27" spans="2:26" ht="15">
      <c r="B27" s="156">
        <v>2012</v>
      </c>
      <c r="C27" s="161">
        <f>K27</f>
        <v>1.2840434187226464</v>
      </c>
      <c r="D27" s="159">
        <f>'Can O&amp;M price indexes'!N25</f>
        <v>1.2501652753742629</v>
      </c>
      <c r="E27" s="160">
        <f>'US O&amp;M price indexes'!K24</f>
        <v>1.2906704663485338</v>
      </c>
      <c r="F27" s="174">
        <f>TFP_dataset!J15/TFP_dataset!J249</f>
        <v>0.15009414442940835</v>
      </c>
      <c r="G27" s="21"/>
      <c r="H27" s="292">
        <f t="shared" si="0"/>
        <v>2012</v>
      </c>
      <c r="I27" s="286">
        <f>I26*N27</f>
        <v>1.3168104392198465</v>
      </c>
      <c r="J27" s="280">
        <f>J26*O27</f>
        <v>1.23046701458593</v>
      </c>
      <c r="K27" s="287">
        <f>K26*P27</f>
        <v>1.2840434187226464</v>
      </c>
      <c r="L27" s="147"/>
      <c r="M27" s="292">
        <f t="shared" si="1"/>
        <v>2012</v>
      </c>
      <c r="N27" s="161">
        <f t="shared" si="2"/>
        <v>1.0228780003762559</v>
      </c>
      <c r="O27" s="161">
        <f t="shared" si="3"/>
        <v>1.0173581896517161</v>
      </c>
      <c r="P27" s="296">
        <f t="shared" si="4"/>
        <v>1.0208196302854786</v>
      </c>
      <c r="Q27" s="147"/>
      <c r="R27" s="292">
        <f t="shared" si="5"/>
        <v>2012</v>
      </c>
      <c r="S27" s="305">
        <f>'Can O&amp;M price indexes'!D25</f>
        <v>1.0141928118109267</v>
      </c>
      <c r="T27" s="159">
        <f>'Can O&amp;M price indexes'!H25</f>
        <v>1.0167753960857409</v>
      </c>
      <c r="U27" s="285">
        <f>'Can O&amp;M price indexes'!M25</f>
        <v>1.0151558727732448</v>
      </c>
      <c r="V27" s="147"/>
      <c r="W27" s="316">
        <f t="shared" si="6"/>
        <v>2012</v>
      </c>
      <c r="X27" s="158">
        <f>'US O&amp;M price indexes'!D24</f>
        <v>1.0245606605970781</v>
      </c>
      <c r="Y27" s="158">
        <f>'US O&amp;M price indexes'!F24</f>
        <v>1.0174710995261582</v>
      </c>
      <c r="Z27" s="317">
        <f>'US O&amp;M price indexes'!J24</f>
        <v>1.0219169213108299</v>
      </c>
    </row>
    <row r="28" spans="2:26" ht="15">
      <c r="B28" s="156">
        <v>2013</v>
      </c>
      <c r="C28" s="161">
        <f t="shared" ref="C28:C29" si="10">K28</f>
        <v>1.3121578800594988</v>
      </c>
      <c r="D28" s="159">
        <f>'Can O&amp;M price indexes'!N26</f>
        <v>1.2704232442229755</v>
      </c>
      <c r="E28" s="160">
        <f>'US O&amp;M price indexes'!K25</f>
        <v>1.320353088039588</v>
      </c>
      <c r="F28" s="174">
        <f>TFP_dataset!J16/TFP_dataset!J250</f>
        <v>0.15560703300954221</v>
      </c>
      <c r="G28" s="21"/>
      <c r="H28" s="292">
        <f t="shared" si="0"/>
        <v>2013</v>
      </c>
      <c r="I28" s="286">
        <f t="shared" ref="I28:I29" si="11">I27*N28</f>
        <v>1.3506662071989548</v>
      </c>
      <c r="J28" s="280">
        <f t="shared" ref="J28:J29" si="12">J27*O28</f>
        <v>1.2495140265443532</v>
      </c>
      <c r="K28" s="287">
        <f>K27*P28</f>
        <v>1.3121578800594988</v>
      </c>
      <c r="M28" s="292">
        <f t="shared" ref="M28:M29" si="13">B28</f>
        <v>2013</v>
      </c>
      <c r="N28" s="161">
        <f t="shared" si="2"/>
        <v>1.0257104340691332</v>
      </c>
      <c r="O28" s="161">
        <f t="shared" si="3"/>
        <v>1.0154794982170512</v>
      </c>
      <c r="P28" s="296">
        <f t="shared" si="4"/>
        <v>1.0218952575332854</v>
      </c>
      <c r="R28" s="292">
        <f t="shared" ref="R28:R29" si="14">B28</f>
        <v>2013</v>
      </c>
      <c r="S28" s="305">
        <f>'Can O&amp;M price indexes'!D26</f>
        <v>1.0154841130572019</v>
      </c>
      <c r="T28" s="159">
        <f>'Can O&amp;M price indexes'!H26</f>
        <v>1.0174152153987168</v>
      </c>
      <c r="U28" s="285">
        <f>'Can O&amp;M price indexes'!M26</f>
        <v>1.0162042325504905</v>
      </c>
      <c r="W28" s="316">
        <f t="shared" ref="W28:W29" si="15">B28</f>
        <v>2013</v>
      </c>
      <c r="X28" s="158">
        <f>'US O&amp;M price indexes'!D25</f>
        <v>1.0276916718330233</v>
      </c>
      <c r="Y28" s="158">
        <f>'US O&amp;M price indexes'!F25</f>
        <v>1.0151044742004913</v>
      </c>
      <c r="Z28" s="317">
        <f>'US O&amp;M price indexes'!J25</f>
        <v>1.0229978313326018</v>
      </c>
    </row>
    <row r="29" spans="2:26" ht="15.75" thickBot="1">
      <c r="B29" s="156">
        <v>2014</v>
      </c>
      <c r="C29" s="161">
        <f t="shared" si="10"/>
        <v>1.343302575192457</v>
      </c>
      <c r="D29" s="159">
        <f>'Can O&amp;M price indexes'!N27</f>
        <v>1.296459337573129</v>
      </c>
      <c r="E29" s="160">
        <f>'US O&amp;M price indexes'!K26</f>
        <v>1.3525214754548154</v>
      </c>
      <c r="F29" s="174">
        <f>TFP_dataset!J17/TFP_dataset!J251</f>
        <v>0.15619891354957582</v>
      </c>
      <c r="G29" s="21"/>
      <c r="H29" s="293">
        <f t="shared" si="0"/>
        <v>2014</v>
      </c>
      <c r="I29" s="288">
        <f t="shared" si="11"/>
        <v>1.3857269133136556</v>
      </c>
      <c r="J29" s="289">
        <f t="shared" si="12"/>
        <v>1.2745016252127659</v>
      </c>
      <c r="K29" s="290">
        <f t="shared" ref="K29" si="16">K28*P29</f>
        <v>1.343302575192457</v>
      </c>
      <c r="M29" s="293">
        <f t="shared" si="13"/>
        <v>2014</v>
      </c>
      <c r="N29" s="297">
        <f t="shared" si="2"/>
        <v>1.0259580834463984</v>
      </c>
      <c r="O29" s="297">
        <f t="shared" si="3"/>
        <v>1.0199978536755752</v>
      </c>
      <c r="P29" s="298">
        <f t="shared" si="4"/>
        <v>1.0237354784864348</v>
      </c>
      <c r="R29" s="293">
        <f t="shared" si="14"/>
        <v>2014</v>
      </c>
      <c r="S29" s="307">
        <f>'Can O&amp;M price indexes'!D27</f>
        <v>1.0198235012824415</v>
      </c>
      <c r="T29" s="308">
        <f>'Can O&amp;M price indexes'!H27</f>
        <v>1.0216216216216216</v>
      </c>
      <c r="U29" s="309">
        <f>'Can O&amp;M price indexes'!M27</f>
        <v>1.0204940309999428</v>
      </c>
      <c r="W29" s="318">
        <f t="shared" si="15"/>
        <v>2014</v>
      </c>
      <c r="X29" s="319">
        <f>'US O&amp;M price indexes'!D26</f>
        <v>1.027146591594611</v>
      </c>
      <c r="Y29" s="319">
        <f>'US O&amp;M price indexes'!F26</f>
        <v>1.0196832664089768</v>
      </c>
      <c r="Z29" s="320">
        <f>'US O&amp;M price indexes'!J26</f>
        <v>1.024363473457687</v>
      </c>
    </row>
    <row r="30" spans="2:26" ht="15.75" thickBot="1">
      <c r="B30" s="176" t="s">
        <v>248</v>
      </c>
      <c r="C30" s="177">
        <f>C58</f>
        <v>2.4594265845773369E-2</v>
      </c>
      <c r="D30" s="177">
        <f>D58</f>
        <v>2.1636413522948452E-2</v>
      </c>
      <c r="E30" s="178">
        <f>E58</f>
        <v>2.5164217496034522E-2</v>
      </c>
      <c r="F30" s="175">
        <f>AVERAGE(F17:F27)</f>
        <v>0.16345834959815089</v>
      </c>
    </row>
    <row r="31" spans="2:26">
      <c r="I31" s="9"/>
      <c r="J31" s="9"/>
      <c r="K31" s="9"/>
    </row>
    <row r="32" spans="2:26">
      <c r="C32" s="310" t="s">
        <v>215</v>
      </c>
      <c r="D32" s="311" t="s">
        <v>213</v>
      </c>
      <c r="E32" s="312" t="s">
        <v>214</v>
      </c>
    </row>
    <row r="33" spans="2:5" ht="75">
      <c r="B33" s="323" t="s">
        <v>4</v>
      </c>
      <c r="C33" s="303" t="s">
        <v>242</v>
      </c>
      <c r="D33" s="303" t="s">
        <v>242</v>
      </c>
      <c r="E33" s="304" t="s">
        <v>242</v>
      </c>
    </row>
    <row r="34" spans="2:5" hidden="1">
      <c r="B34" s="184">
        <v>1991</v>
      </c>
      <c r="C34" s="158"/>
      <c r="D34" s="159"/>
      <c r="E34" s="317"/>
    </row>
    <row r="35" spans="2:5" hidden="1">
      <c r="B35" s="184">
        <v>1992</v>
      </c>
      <c r="C35" s="158"/>
      <c r="D35" s="159"/>
      <c r="E35" s="317"/>
    </row>
    <row r="36" spans="2:5" hidden="1">
      <c r="B36" s="184">
        <v>1993</v>
      </c>
      <c r="C36" s="158"/>
      <c r="D36" s="159"/>
      <c r="E36" s="317"/>
    </row>
    <row r="37" spans="2:5" hidden="1">
      <c r="B37" s="184">
        <v>1994</v>
      </c>
      <c r="C37" s="158"/>
      <c r="D37" s="159"/>
      <c r="E37" s="317"/>
    </row>
    <row r="38" spans="2:5" hidden="1">
      <c r="B38" s="184">
        <v>1995</v>
      </c>
      <c r="C38" s="158"/>
      <c r="D38" s="159"/>
      <c r="E38" s="317"/>
    </row>
    <row r="39" spans="2:5" hidden="1">
      <c r="B39" s="184">
        <v>1996</v>
      </c>
      <c r="C39" s="158"/>
      <c r="D39" s="159"/>
      <c r="E39" s="317"/>
    </row>
    <row r="40" spans="2:5" hidden="1">
      <c r="B40" s="184">
        <v>1997</v>
      </c>
      <c r="C40" s="158"/>
      <c r="D40" s="159"/>
      <c r="E40" s="317"/>
    </row>
    <row r="41" spans="2:5" hidden="1">
      <c r="B41" s="184">
        <v>1998</v>
      </c>
      <c r="C41" s="158"/>
      <c r="D41" s="159"/>
      <c r="E41" s="317"/>
    </row>
    <row r="42" spans="2:5" hidden="1">
      <c r="B42" s="184">
        <v>1999</v>
      </c>
      <c r="C42" s="158"/>
      <c r="D42" s="159"/>
      <c r="E42" s="317"/>
    </row>
    <row r="43" spans="2:5" hidden="1">
      <c r="B43" s="184">
        <v>2000</v>
      </c>
      <c r="C43" s="158"/>
      <c r="D43" s="159"/>
      <c r="E43" s="317"/>
    </row>
    <row r="44" spans="2:5" hidden="1">
      <c r="B44" s="184">
        <v>2001</v>
      </c>
      <c r="C44" s="158"/>
      <c r="D44" s="159"/>
      <c r="E44" s="317"/>
    </row>
    <row r="45" spans="2:5">
      <c r="B45" s="184">
        <v>2002</v>
      </c>
      <c r="C45" s="161"/>
      <c r="D45" s="159"/>
      <c r="E45" s="317"/>
    </row>
    <row r="46" spans="2:5">
      <c r="B46" s="184">
        <v>2003</v>
      </c>
      <c r="C46" s="141">
        <f>LN(C18/C17)</f>
        <v>2.3714237870452192E-2</v>
      </c>
      <c r="D46" s="141">
        <f>LN(D18/D17)</f>
        <v>2.1416781852885459E-2</v>
      </c>
      <c r="E46" s="324">
        <f>LN(E18/E17)</f>
        <v>2.4158735108036223E-2</v>
      </c>
    </row>
    <row r="47" spans="2:5">
      <c r="B47" s="184">
        <v>2004</v>
      </c>
      <c r="C47" s="141">
        <f t="shared" ref="C47:E55" si="17">LN(C19/C18)</f>
        <v>2.8073488407924896E-2</v>
      </c>
      <c r="D47" s="141">
        <f t="shared" si="17"/>
        <v>2.4005202384213276E-2</v>
      </c>
      <c r="E47" s="324">
        <f t="shared" si="17"/>
        <v>2.8859763989106637E-2</v>
      </c>
    </row>
    <row r="48" spans="2:5">
      <c r="B48" s="184">
        <v>2005</v>
      </c>
      <c r="C48" s="141">
        <f t="shared" si="17"/>
        <v>2.9000767054235526E-2</v>
      </c>
      <c r="D48" s="141">
        <f t="shared" si="17"/>
        <v>3.0331636104872561E-2</v>
      </c>
      <c r="E48" s="324">
        <f t="shared" si="17"/>
        <v>2.8742720798975951E-2</v>
      </c>
    </row>
    <row r="49" spans="2:5">
      <c r="B49" s="184">
        <v>2006</v>
      </c>
      <c r="C49" s="141">
        <f t="shared" si="17"/>
        <v>2.8552371620864485E-2</v>
      </c>
      <c r="D49" s="141">
        <f t="shared" si="17"/>
        <v>1.8874715591569873E-2</v>
      </c>
      <c r="E49" s="324">
        <f t="shared" si="17"/>
        <v>3.041652961144244E-2</v>
      </c>
    </row>
    <row r="50" spans="2:5">
      <c r="B50" s="184">
        <v>2007</v>
      </c>
      <c r="C50" s="141">
        <f t="shared" si="17"/>
        <v>3.0241037371962112E-2</v>
      </c>
      <c r="D50" s="141">
        <f t="shared" si="17"/>
        <v>3.2401083793605553E-2</v>
      </c>
      <c r="E50" s="324">
        <f t="shared" si="17"/>
        <v>2.9822011942160255E-2</v>
      </c>
    </row>
    <row r="51" spans="2:5">
      <c r="B51" s="184">
        <v>2008</v>
      </c>
      <c r="C51" s="141">
        <f t="shared" si="17"/>
        <v>2.6438367488195127E-2</v>
      </c>
      <c r="D51" s="141">
        <f t="shared" si="17"/>
        <v>2.3821368035544386E-2</v>
      </c>
      <c r="E51" s="324">
        <f t="shared" si="17"/>
        <v>2.6944591484158818E-2</v>
      </c>
    </row>
    <row r="52" spans="2:5">
      <c r="B52" s="184">
        <v>2009</v>
      </c>
      <c r="C52" s="141">
        <f t="shared" si="17"/>
        <v>1.9072289234664395E-2</v>
      </c>
      <c r="D52" s="141">
        <f t="shared" si="17"/>
        <v>1.2475114209695947E-2</v>
      </c>
      <c r="E52" s="324">
        <f t="shared" si="17"/>
        <v>2.0345402164965967E-2</v>
      </c>
    </row>
    <row r="53" spans="2:5">
      <c r="B53" s="184">
        <v>2010</v>
      </c>
      <c r="C53" s="141">
        <f t="shared" si="17"/>
        <v>2.1108074639170658E-2</v>
      </c>
      <c r="D53" s="141">
        <f t="shared" si="17"/>
        <v>2.7638822807053508E-2</v>
      </c>
      <c r="E53" s="324">
        <f t="shared" si="17"/>
        <v>1.9837866732184448E-2</v>
      </c>
    </row>
    <row r="54" spans="2:5">
      <c r="B54" s="184">
        <v>2011</v>
      </c>
      <c r="C54" s="141">
        <f t="shared" si="17"/>
        <v>2.3207522494308172E-2</v>
      </c>
      <c r="D54" s="141">
        <f t="shared" si="17"/>
        <v>1.7268868155919496E-2</v>
      </c>
      <c r="E54" s="324">
        <f t="shared" si="17"/>
        <v>2.435400470448313E-2</v>
      </c>
    </row>
    <row r="55" spans="2:5">
      <c r="B55" s="184">
        <v>2012</v>
      </c>
      <c r="C55" s="141">
        <f>LN(C27/C26)</f>
        <v>2.0605863718824259E-2</v>
      </c>
      <c r="D55" s="141">
        <f t="shared" si="17"/>
        <v>1.5042169937926779E-2</v>
      </c>
      <c r="E55" s="324">
        <f t="shared" si="17"/>
        <v>2.1680198174762202E-2</v>
      </c>
    </row>
    <row r="56" spans="2:5">
      <c r="B56" s="184">
        <v>2013</v>
      </c>
      <c r="C56" s="141">
        <f>LN(C28/C27)</f>
        <v>2.1658998792774373E-2</v>
      </c>
      <c r="D56" s="141">
        <f t="shared" ref="D56:E56" si="18">LN(D28/D27)</f>
        <v>1.6074345245075755E-2</v>
      </c>
      <c r="E56" s="324">
        <f t="shared" si="18"/>
        <v>2.2737367057762265E-2</v>
      </c>
    </row>
    <row r="57" spans="2:5">
      <c r="B57" s="184">
        <v>2014</v>
      </c>
      <c r="C57" s="141">
        <f t="shared" ref="C57:E57" si="19">LN(C29/C28)</f>
        <v>2.3458171455904175E-2</v>
      </c>
      <c r="D57" s="141">
        <f t="shared" si="19"/>
        <v>2.0286854157018835E-2</v>
      </c>
      <c r="E57" s="324">
        <f t="shared" si="19"/>
        <v>2.4071418184375977E-2</v>
      </c>
    </row>
    <row r="58" spans="2:5" ht="15">
      <c r="B58" s="310" t="s">
        <v>96</v>
      </c>
      <c r="C58" s="325">
        <f>AVERAGE(C46:C57)</f>
        <v>2.4594265845773369E-2</v>
      </c>
      <c r="D58" s="325">
        <f t="shared" ref="D58" si="20">AVERAGE(D46:D57)</f>
        <v>2.1636413522948452E-2</v>
      </c>
      <c r="E58" s="326">
        <f>AVERAGE(E46:E57)</f>
        <v>2.5164217496034522E-2</v>
      </c>
    </row>
  </sheetData>
  <mergeCells count="1">
    <mergeCell ref="N3:Z3"/>
  </mergeCells>
  <pageMargins left="0.7" right="0.7" top="0.75" bottom="0.75" header="0.3" footer="0.3"/>
  <pageSetup orientation="portrait" r:id="rId1"/>
  <headerFooter>
    <oddHeader>&amp;CFiled: 2016-10-26, EB-2016-0152
Exhibit L, Tab 11.1, Schedule 1 Staff-246
Attachment 2</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U28"/>
  <sheetViews>
    <sheetView showGridLines="0" tabSelected="1" view="pageLayout" zoomScaleNormal="100" workbookViewId="0">
      <selection activeCell="A2" sqref="A2"/>
    </sheetView>
  </sheetViews>
  <sheetFormatPr defaultRowHeight="12.75"/>
  <cols>
    <col min="1" max="1" width="2.85546875" customWidth="1"/>
    <col min="3" max="4" width="21" customWidth="1"/>
    <col min="5" max="5" width="21" hidden="1" customWidth="1"/>
    <col min="6" max="6" width="24" hidden="1" customWidth="1"/>
    <col min="7" max="7" width="24" customWidth="1"/>
    <col min="8" max="8" width="20.28515625" customWidth="1"/>
    <col min="9" max="9" width="9.140625" customWidth="1"/>
    <col min="10" max="10" width="11.85546875" customWidth="1"/>
    <col min="11" max="11" width="10.7109375" hidden="1" customWidth="1"/>
    <col min="12" max="12" width="10.7109375" customWidth="1"/>
    <col min="13" max="13" width="9.140625" customWidth="1"/>
    <col min="14" max="14" width="10.7109375" customWidth="1"/>
    <col min="19" max="21" width="9.140625" customWidth="1"/>
  </cols>
  <sheetData>
    <row r="1" spans="2:21" ht="13.5" thickBot="1">
      <c r="B1" s="18" t="s">
        <v>32</v>
      </c>
      <c r="G1" s="334" t="s">
        <v>33</v>
      </c>
      <c r="H1" s="328">
        <f>'EUCG L share'!$E$34</f>
        <v>0.62709408102958719</v>
      </c>
    </row>
    <row r="2" spans="2:21">
      <c r="B2" s="18" t="s">
        <v>584</v>
      </c>
      <c r="G2" s="334" t="s">
        <v>34</v>
      </c>
      <c r="H2" s="329">
        <f>1-H1</f>
        <v>0.37290591897041281</v>
      </c>
      <c r="J2" s="18" t="s">
        <v>112</v>
      </c>
      <c r="K2" s="18" t="s">
        <v>112</v>
      </c>
      <c r="L2" s="18" t="s">
        <v>111</v>
      </c>
      <c r="M2" s="18" t="s">
        <v>175</v>
      </c>
      <c r="N2" s="162" t="s">
        <v>175</v>
      </c>
      <c r="O2" s="163" t="s">
        <v>175</v>
      </c>
    </row>
    <row r="3" spans="2:21">
      <c r="J3" t="s">
        <v>100</v>
      </c>
      <c r="K3" t="s">
        <v>101</v>
      </c>
      <c r="L3" s="18" t="s">
        <v>35</v>
      </c>
      <c r="M3" s="18" t="s">
        <v>216</v>
      </c>
      <c r="N3" s="164" t="s">
        <v>216</v>
      </c>
      <c r="O3" s="165" t="s">
        <v>216</v>
      </c>
    </row>
    <row r="4" spans="2:21" ht="75">
      <c r="B4" s="323" t="s">
        <v>4</v>
      </c>
      <c r="C4" s="303" t="s">
        <v>169</v>
      </c>
      <c r="D4" s="303" t="s">
        <v>170</v>
      </c>
      <c r="E4" s="327" t="s">
        <v>171</v>
      </c>
      <c r="F4" s="327" t="s">
        <v>172</v>
      </c>
      <c r="G4" s="303" t="s">
        <v>173</v>
      </c>
      <c r="H4" s="304" t="s">
        <v>174</v>
      </c>
      <c r="J4" s="302" t="s">
        <v>102</v>
      </c>
      <c r="K4" s="327" t="s">
        <v>95</v>
      </c>
      <c r="L4" s="303" t="s">
        <v>97</v>
      </c>
      <c r="M4" s="303" t="s">
        <v>108</v>
      </c>
      <c r="N4" s="166" t="s">
        <v>107</v>
      </c>
      <c r="O4" s="155" t="s">
        <v>243</v>
      </c>
      <c r="Q4" s="77" t="s">
        <v>4</v>
      </c>
      <c r="R4" s="77" t="s">
        <v>224</v>
      </c>
      <c r="S4" s="77" t="s">
        <v>225</v>
      </c>
      <c r="T4" s="77" t="s">
        <v>166</v>
      </c>
    </row>
    <row r="5" spans="2:21" ht="15" hidden="1">
      <c r="B5" s="184">
        <v>1991</v>
      </c>
      <c r="C5" s="158">
        <f>'StatsCan CANSIM tables'!$T$31</f>
        <v>575.90333333333331</v>
      </c>
      <c r="D5" s="159"/>
      <c r="E5" s="158">
        <f>'StatsCan CANSIM tables'!$U$31</f>
        <v>854.09999999999991</v>
      </c>
      <c r="F5" s="159"/>
      <c r="G5" s="158">
        <f>'StatsCan CANSIM tables'!C101</f>
        <v>74.8</v>
      </c>
      <c r="H5" s="285"/>
      <c r="J5" s="305"/>
      <c r="K5" s="306"/>
      <c r="L5" s="306"/>
      <c r="M5" s="159"/>
      <c r="N5" s="167"/>
      <c r="O5" s="168"/>
    </row>
    <row r="6" spans="2:21" ht="15" hidden="1">
      <c r="B6" s="184">
        <v>1992</v>
      </c>
      <c r="C6" s="158">
        <f>'StatsCan CANSIM tables'!$T$32</f>
        <v>598.56916666666666</v>
      </c>
      <c r="D6" s="159">
        <f>C6/C5</f>
        <v>1.0393570101463787</v>
      </c>
      <c r="E6" s="158">
        <f>'StatsCan CANSIM tables'!$U$32</f>
        <v>892.54</v>
      </c>
      <c r="F6" s="159">
        <f>E6/E5</f>
        <v>1.0450064395269876</v>
      </c>
      <c r="G6" s="158">
        <f>'StatsCan CANSIM tables'!C102</f>
        <v>76.3</v>
      </c>
      <c r="H6" s="285">
        <f>G6/G5</f>
        <v>1.0200534759358288</v>
      </c>
      <c r="J6" s="305"/>
      <c r="K6" s="306"/>
      <c r="L6" s="306"/>
      <c r="M6" s="159">
        <f t="shared" ref="M6:M25" si="0">D6*$H$1+H6*$H$2</f>
        <v>1.0321586079822167</v>
      </c>
      <c r="N6" s="167"/>
      <c r="O6" s="168"/>
      <c r="P6" s="85"/>
    </row>
    <row r="7" spans="2:21" ht="15" hidden="1">
      <c r="B7" s="184">
        <v>1993</v>
      </c>
      <c r="C7" s="158">
        <f>'StatsCan CANSIM tables'!$T$33</f>
        <v>612.10833333333335</v>
      </c>
      <c r="D7" s="159">
        <f t="shared" ref="D7:F25" si="1">C7/C6</f>
        <v>1.0226192183303795</v>
      </c>
      <c r="E7" s="158">
        <f>'StatsCan CANSIM tables'!$U$33</f>
        <v>896.30416666666667</v>
      </c>
      <c r="F7" s="159">
        <f t="shared" si="1"/>
        <v>1.0042173646745991</v>
      </c>
      <c r="G7" s="158">
        <f>'StatsCan CANSIM tables'!C103</f>
        <v>77.7</v>
      </c>
      <c r="H7" s="285">
        <f t="shared" ref="H7:H25" si="2">G7/G6</f>
        <v>1.0183486238532111</v>
      </c>
      <c r="J7" s="305"/>
      <c r="K7" s="306"/>
      <c r="L7" s="306"/>
      <c r="M7" s="159">
        <f t="shared" si="0"/>
        <v>1.0210266883723211</v>
      </c>
      <c r="N7" s="167"/>
      <c r="O7" s="168"/>
      <c r="P7" s="85"/>
    </row>
    <row r="8" spans="2:21" ht="15" hidden="1">
      <c r="B8" s="184">
        <v>1994</v>
      </c>
      <c r="C8" s="158">
        <f>'StatsCan CANSIM tables'!$T$34</f>
        <v>627.87250000000006</v>
      </c>
      <c r="D8" s="159">
        <f t="shared" si="1"/>
        <v>1.0257538834356663</v>
      </c>
      <c r="E8" s="158">
        <f>'StatsCan CANSIM tables'!$U$34</f>
        <v>921.54916666666668</v>
      </c>
      <c r="F8" s="159">
        <f t="shared" si="1"/>
        <v>1.0281656617684658</v>
      </c>
      <c r="G8" s="158">
        <f>'StatsCan CANSIM tables'!C104</f>
        <v>79</v>
      </c>
      <c r="H8" s="285">
        <f t="shared" si="2"/>
        <v>1.0167310167310166</v>
      </c>
      <c r="J8" s="305"/>
      <c r="K8" s="306"/>
      <c r="L8" s="306"/>
      <c r="M8" s="159">
        <f t="shared" si="0"/>
        <v>1.0223892030354214</v>
      </c>
      <c r="N8" s="167"/>
      <c r="O8" s="168"/>
      <c r="P8" s="85"/>
    </row>
    <row r="9" spans="2:21" ht="15" hidden="1">
      <c r="B9" s="184">
        <v>1995</v>
      </c>
      <c r="C9" s="158">
        <f>'StatsCan CANSIM tables'!$T$35</f>
        <v>633.98</v>
      </c>
      <c r="D9" s="159">
        <f t="shared" si="1"/>
        <v>1.0097272933597186</v>
      </c>
      <c r="E9" s="158">
        <f>'StatsCan CANSIM tables'!$U$35</f>
        <v>936.69999999999993</v>
      </c>
      <c r="F9" s="159">
        <f t="shared" si="1"/>
        <v>1.0164406131342241</v>
      </c>
      <c r="G9" s="158">
        <f>'StatsCan CANSIM tables'!C105</f>
        <v>79.900000000000006</v>
      </c>
      <c r="H9" s="285">
        <f t="shared" si="2"/>
        <v>1.0113924050632912</v>
      </c>
      <c r="J9" s="305"/>
      <c r="K9" s="306"/>
      <c r="L9" s="306"/>
      <c r="M9" s="159">
        <f t="shared" si="0"/>
        <v>1.0103482233697276</v>
      </c>
      <c r="N9" s="167"/>
      <c r="O9" s="168"/>
      <c r="P9" s="85"/>
    </row>
    <row r="10" spans="2:21" ht="15" hidden="1">
      <c r="B10" s="184">
        <v>1996</v>
      </c>
      <c r="C10" s="158">
        <f>'StatsCan CANSIM tables'!$T$36</f>
        <v>649.29166666666663</v>
      </c>
      <c r="D10" s="159">
        <f t="shared" si="1"/>
        <v>1.0241516556778867</v>
      </c>
      <c r="E10" s="158">
        <f>'StatsCan CANSIM tables'!$U$36</f>
        <v>939.75083333333316</v>
      </c>
      <c r="F10" s="159">
        <f t="shared" si="1"/>
        <v>1.0032570015301945</v>
      </c>
      <c r="G10" s="158">
        <f>'StatsCan CANSIM tables'!C106</f>
        <v>80.8</v>
      </c>
      <c r="H10" s="285">
        <f t="shared" si="2"/>
        <v>1.0112640801001251</v>
      </c>
      <c r="J10" s="305"/>
      <c r="K10" s="306"/>
      <c r="L10" s="306"/>
      <c r="M10" s="159">
        <f t="shared" si="0"/>
        <v>1.0193458024637607</v>
      </c>
      <c r="N10" s="167"/>
      <c r="O10" s="168"/>
      <c r="P10" s="85"/>
    </row>
    <row r="11" spans="2:21" ht="15" hidden="1">
      <c r="B11" s="184">
        <v>1997</v>
      </c>
      <c r="C11" s="158">
        <f>'StatsCan CANSIM tables'!$T$37</f>
        <v>663.50749999999994</v>
      </c>
      <c r="D11" s="159">
        <f t="shared" si="1"/>
        <v>1.0218943720721299</v>
      </c>
      <c r="E11" s="158">
        <f>'StatsCan CANSIM tables'!$U$37</f>
        <v>987.87166666666656</v>
      </c>
      <c r="F11" s="159">
        <f t="shared" si="1"/>
        <v>1.0512059490946626</v>
      </c>
      <c r="G11" s="158">
        <f>'StatsCan CANSIM tables'!C107</f>
        <v>82</v>
      </c>
      <c r="H11" s="285">
        <f t="shared" si="2"/>
        <v>1.0148514851485149</v>
      </c>
      <c r="J11" s="305"/>
      <c r="K11" s="306"/>
      <c r="L11" s="306"/>
      <c r="M11" s="159">
        <f t="shared" si="0"/>
        <v>1.0192680378516745</v>
      </c>
      <c r="N11" s="167"/>
      <c r="O11" s="168"/>
      <c r="P11" s="85"/>
    </row>
    <row r="12" spans="2:21" ht="15" hidden="1">
      <c r="B12" s="184">
        <v>1998</v>
      </c>
      <c r="C12" s="158">
        <f>'StatsCan CANSIM tables'!$T$38</f>
        <v>672.53000000000009</v>
      </c>
      <c r="D12" s="159">
        <f t="shared" si="1"/>
        <v>1.0135981884153535</v>
      </c>
      <c r="E12" s="158">
        <f>'StatsCan CANSIM tables'!$U$38</f>
        <v>1033.2300000000002</v>
      </c>
      <c r="F12" s="159">
        <f t="shared" si="1"/>
        <v>1.0459152082844774</v>
      </c>
      <c r="G12" s="158">
        <f>'StatsCan CANSIM tables'!C108</f>
        <v>83.2</v>
      </c>
      <c r="H12" s="285">
        <f t="shared" si="2"/>
        <v>1.0146341463414634</v>
      </c>
      <c r="J12" s="305"/>
      <c r="K12" s="306"/>
      <c r="L12" s="306"/>
      <c r="M12" s="159">
        <f t="shared" si="0"/>
        <v>1.0139845032578043</v>
      </c>
      <c r="N12" s="167"/>
      <c r="O12" s="168"/>
      <c r="P12" s="85"/>
    </row>
    <row r="13" spans="2:21" ht="15" hidden="1">
      <c r="B13" s="184">
        <v>1999</v>
      </c>
      <c r="C13" s="158">
        <f>'StatsCan CANSIM tables'!$T$39</f>
        <v>683.48416666666662</v>
      </c>
      <c r="D13" s="159">
        <f t="shared" si="1"/>
        <v>1.0162879970658061</v>
      </c>
      <c r="E13" s="158">
        <f>'StatsCan CANSIM tables'!$U$39</f>
        <v>1050.1099999999999</v>
      </c>
      <c r="F13" s="159">
        <f t="shared" si="1"/>
        <v>1.0163371175827256</v>
      </c>
      <c r="G13" s="158">
        <f>'StatsCan CANSIM tables'!C109</f>
        <v>84.4</v>
      </c>
      <c r="H13" s="285">
        <f t="shared" si="2"/>
        <v>1.0144230769230769</v>
      </c>
      <c r="J13" s="305"/>
      <c r="K13" s="306"/>
      <c r="L13" s="306"/>
      <c r="M13" s="159">
        <f t="shared" si="0"/>
        <v>1.0155925573061753</v>
      </c>
      <c r="N13" s="167"/>
      <c r="O13" s="168"/>
      <c r="P13" s="85"/>
    </row>
    <row r="14" spans="2:21" ht="15" hidden="1">
      <c r="B14" s="184">
        <v>2000</v>
      </c>
      <c r="C14" s="158">
        <f>'StatsCan CANSIM tables'!$T$40</f>
        <v>699.92833333333317</v>
      </c>
      <c r="D14" s="159">
        <f t="shared" si="1"/>
        <v>1.0240593234907902</v>
      </c>
      <c r="E14" s="158">
        <f>'StatsCan CANSIM tables'!$U$40</f>
        <v>1067.9816666666668</v>
      </c>
      <c r="F14" s="159">
        <f t="shared" si="1"/>
        <v>1.0170188519932835</v>
      </c>
      <c r="G14" s="158">
        <f>'StatsCan CANSIM tables'!C110</f>
        <v>86.5</v>
      </c>
      <c r="H14" s="285">
        <f t="shared" si="2"/>
        <v>1.0248815165876777</v>
      </c>
      <c r="J14" s="305"/>
      <c r="K14" s="306"/>
      <c r="L14" s="306"/>
      <c r="M14" s="159">
        <f t="shared" si="0"/>
        <v>1.0243659241631562</v>
      </c>
      <c r="N14" s="167"/>
      <c r="O14" s="168"/>
      <c r="P14" s="85"/>
    </row>
    <row r="15" spans="2:21" ht="15">
      <c r="B15" s="184">
        <v>2002</v>
      </c>
      <c r="C15" s="158">
        <f>'StatsCan CANSIM tables'!$C27</f>
        <v>710.87</v>
      </c>
      <c r="D15" s="159">
        <v>1</v>
      </c>
      <c r="E15" s="158">
        <f>'StatsCan CANSIM tables'!$D$27</f>
        <v>1385.59</v>
      </c>
      <c r="F15" s="159" t="e">
        <f>E15/#REF!</f>
        <v>#REF!</v>
      </c>
      <c r="G15" s="158">
        <f>'StatsCan CANSIM tables'!C112</f>
        <v>90.2</v>
      </c>
      <c r="H15" s="285">
        <v>1</v>
      </c>
      <c r="J15" s="330">
        <v>1</v>
      </c>
      <c r="K15" s="159">
        <v>1</v>
      </c>
      <c r="L15" s="306">
        <v>1</v>
      </c>
      <c r="M15" s="159">
        <f t="shared" si="0"/>
        <v>1</v>
      </c>
      <c r="N15" s="169">
        <v>1</v>
      </c>
      <c r="O15" s="168"/>
      <c r="P15" s="85"/>
      <c r="Q15" s="1">
        <f t="shared" ref="Q15:Q27" si="3">B15</f>
        <v>2002</v>
      </c>
      <c r="R15" s="124">
        <f>'EUCG L share'!E21</f>
        <v>0</v>
      </c>
      <c r="S15" s="105">
        <f>D15*$R15+H15*(1-R15)</f>
        <v>1</v>
      </c>
      <c r="T15" s="105">
        <v>1</v>
      </c>
      <c r="U15" s="1"/>
    </row>
    <row r="16" spans="2:21" ht="15">
      <c r="B16" s="184">
        <v>2003</v>
      </c>
      <c r="C16" s="158">
        <f>'StatsCan CANSIM tables'!$C28</f>
        <v>728.38</v>
      </c>
      <c r="D16" s="159">
        <f t="shared" si="1"/>
        <v>1.024631789216031</v>
      </c>
      <c r="E16" s="158">
        <f>'StatsCan CANSIM tables'!$D$28</f>
        <v>1441.31</v>
      </c>
      <c r="F16" s="159">
        <f t="shared" si="1"/>
        <v>1.0402139160935053</v>
      </c>
      <c r="G16" s="158">
        <f>'StatsCan CANSIM tables'!C113</f>
        <v>91.7</v>
      </c>
      <c r="H16" s="285">
        <f t="shared" si="2"/>
        <v>1.0166297117516629</v>
      </c>
      <c r="J16" s="330">
        <f t="shared" ref="J16:J25" si="4">J15*D16</f>
        <v>1.024631789216031</v>
      </c>
      <c r="K16" s="159">
        <f t="shared" ref="K16:K25" si="5">K15*F16</f>
        <v>1.0402139160935053</v>
      </c>
      <c r="L16" s="306">
        <f t="shared" ref="L16:L25" si="6">L15*H16</f>
        <v>1.0166297117516629</v>
      </c>
      <c r="M16" s="159">
        <f t="shared" si="0"/>
        <v>1.0216477671655084</v>
      </c>
      <c r="N16" s="169">
        <f t="shared" ref="N16:N25" si="7">N15*M16</f>
        <v>1.0216477671655084</v>
      </c>
      <c r="O16" s="142">
        <f>LN(N16/N15)</f>
        <v>2.1416781852885459E-2</v>
      </c>
      <c r="P16" s="85"/>
      <c r="Q16" s="1">
        <f t="shared" si="3"/>
        <v>2003</v>
      </c>
      <c r="R16" s="124">
        <f>'EUCG L share'!E22</f>
        <v>0</v>
      </c>
      <c r="S16" s="105">
        <f t="shared" ref="S16:S27" si="8">D16*AVERAGE(R15:R16)+H16*(1-AVERAGE(R15:R16))</f>
        <v>1.0166297117516629</v>
      </c>
      <c r="T16" s="105">
        <f>T15*S16</f>
        <v>1.0166297117516629</v>
      </c>
      <c r="U16" s="140">
        <f>LN(T16/T15)</f>
        <v>1.6492952193841167E-2</v>
      </c>
    </row>
    <row r="17" spans="2:21" ht="15">
      <c r="B17" s="184">
        <v>2004</v>
      </c>
      <c r="C17" s="158">
        <f>'StatsCan CANSIM tables'!$C29</f>
        <v>748.57</v>
      </c>
      <c r="D17" s="159">
        <f t="shared" si="1"/>
        <v>1.0277190477498011</v>
      </c>
      <c r="E17" s="158">
        <f>'StatsCan CANSIM tables'!$D$29</f>
        <v>1420.13</v>
      </c>
      <c r="F17" s="159">
        <f t="shared" si="1"/>
        <v>0.98530503500287947</v>
      </c>
      <c r="G17" s="158">
        <f>'StatsCan CANSIM tables'!C114</f>
        <v>93.4</v>
      </c>
      <c r="H17" s="285">
        <f t="shared" si="2"/>
        <v>1.0185387131952017</v>
      </c>
      <c r="J17" s="330">
        <f t="shared" si="4"/>
        <v>1.0530336067072743</v>
      </c>
      <c r="K17" s="159">
        <f t="shared" si="5"/>
        <v>1.0249280090069937</v>
      </c>
      <c r="L17" s="306">
        <f t="shared" si="6"/>
        <v>1.0354767184035476</v>
      </c>
      <c r="M17" s="159">
        <f t="shared" si="0"/>
        <v>1.0242956466562623</v>
      </c>
      <c r="N17" s="169">
        <f t="shared" si="7"/>
        <v>1.046469360323721</v>
      </c>
      <c r="O17" s="142">
        <f t="shared" ref="O17:O25" si="9">LN(N17/N16)</f>
        <v>2.4005202384213276E-2</v>
      </c>
      <c r="P17" s="85"/>
      <c r="Q17" s="1">
        <f t="shared" si="3"/>
        <v>2004</v>
      </c>
      <c r="R17" s="124">
        <f>'EUCG L share'!E23</f>
        <v>0.60445579215659795</v>
      </c>
      <c r="S17" s="105">
        <f t="shared" si="8"/>
        <v>1.0213132663929332</v>
      </c>
      <c r="T17" s="105">
        <f t="shared" ref="T17:T25" si="10">T16*S17</f>
        <v>1.0382974116211969</v>
      </c>
      <c r="U17" s="140">
        <f t="shared" ref="U17:U25" si="11">LN(T17/T16)</f>
        <v>2.1089315229616809E-2</v>
      </c>
    </row>
    <row r="18" spans="2:21" ht="15">
      <c r="B18" s="184">
        <v>2005</v>
      </c>
      <c r="C18" s="158">
        <f>'StatsCan CANSIM tables'!$C30</f>
        <v>775.8</v>
      </c>
      <c r="D18" s="159">
        <f t="shared" si="1"/>
        <v>1.0363760236183654</v>
      </c>
      <c r="E18" s="158">
        <f>'StatsCan CANSIM tables'!$D$30</f>
        <v>1449.84</v>
      </c>
      <c r="F18" s="159">
        <f t="shared" si="1"/>
        <v>1.0209206199432446</v>
      </c>
      <c r="G18" s="158">
        <f>'StatsCan CANSIM tables'!C115</f>
        <v>95.4</v>
      </c>
      <c r="H18" s="285">
        <f t="shared" si="2"/>
        <v>1.0214132762312633</v>
      </c>
      <c r="J18" s="330">
        <f t="shared" si="4"/>
        <v>1.0913387820557907</v>
      </c>
      <c r="K18" s="159">
        <f t="shared" si="5"/>
        <v>1.0463701383526154</v>
      </c>
      <c r="L18" s="306">
        <f t="shared" si="6"/>
        <v>1.0576496674057649</v>
      </c>
      <c r="M18" s="159">
        <f t="shared" si="0"/>
        <v>1.0307963265536562</v>
      </c>
      <c r="N18" s="169">
        <f t="shared" si="7"/>
        <v>1.0786967724726459</v>
      </c>
      <c r="O18" s="142">
        <f t="shared" si="9"/>
        <v>3.0331636104872561E-2</v>
      </c>
      <c r="P18" s="85"/>
      <c r="Q18" s="1">
        <f t="shared" si="3"/>
        <v>2005</v>
      </c>
      <c r="R18" s="124">
        <f>'EUCG L share'!E24</f>
        <v>0.6299519507624024</v>
      </c>
      <c r="S18" s="105">
        <f t="shared" si="8"/>
        <v>1.0306483418462533</v>
      </c>
      <c r="T18" s="105">
        <f t="shared" si="10"/>
        <v>1.0701195056306434</v>
      </c>
      <c r="U18" s="140">
        <f t="shared" si="11"/>
        <v>3.018806231904602E-2</v>
      </c>
    </row>
    <row r="19" spans="2:21" ht="15">
      <c r="B19" s="184">
        <v>2006</v>
      </c>
      <c r="C19" s="158">
        <f>'StatsCan CANSIM tables'!$C31</f>
        <v>788.25</v>
      </c>
      <c r="D19" s="159">
        <f t="shared" si="1"/>
        <v>1.0160479505027069</v>
      </c>
      <c r="E19" s="158">
        <f>'StatsCan CANSIM tables'!$D$31</f>
        <v>1488.34</v>
      </c>
      <c r="F19" s="159">
        <f t="shared" si="1"/>
        <v>1.0265546543066821</v>
      </c>
      <c r="G19" s="158">
        <f>'StatsCan CANSIM tables'!C116</f>
        <v>97.7</v>
      </c>
      <c r="H19" s="285">
        <f t="shared" si="2"/>
        <v>1.0241090146750524</v>
      </c>
      <c r="J19" s="330">
        <f t="shared" si="4"/>
        <v>1.1088525328119065</v>
      </c>
      <c r="K19" s="159">
        <f t="shared" si="5"/>
        <v>1.0741561356534042</v>
      </c>
      <c r="L19" s="306">
        <f t="shared" si="6"/>
        <v>1.0831485587583149</v>
      </c>
      <c r="M19" s="159">
        <f t="shared" si="0"/>
        <v>1.0190539690457749</v>
      </c>
      <c r="N19" s="169">
        <f t="shared" si="7"/>
        <v>1.099250227385117</v>
      </c>
      <c r="O19" s="142">
        <f t="shared" si="9"/>
        <v>1.8874715591569873E-2</v>
      </c>
      <c r="P19" s="85"/>
      <c r="Q19" s="1">
        <f t="shared" si="3"/>
        <v>2006</v>
      </c>
      <c r="R19" s="124">
        <f>'EUCG L share'!E25</f>
        <v>0.60894898592160929</v>
      </c>
      <c r="S19" s="105">
        <f t="shared" si="8"/>
        <v>1.0191155846981581</v>
      </c>
      <c r="T19" s="105">
        <f t="shared" si="10"/>
        <v>1.0905754656776769</v>
      </c>
      <c r="U19" s="140">
        <f t="shared" si="11"/>
        <v>1.8935177344900207E-2</v>
      </c>
    </row>
    <row r="20" spans="2:21" ht="15">
      <c r="B20" s="184">
        <v>2007</v>
      </c>
      <c r="C20" s="158">
        <f>'StatsCan CANSIM tables'!$C32</f>
        <v>818.61</v>
      </c>
      <c r="D20" s="159">
        <f t="shared" si="1"/>
        <v>1.0385156993339677</v>
      </c>
      <c r="E20" s="158">
        <f>'StatsCan CANSIM tables'!$D$32</f>
        <v>1577.41</v>
      </c>
      <c r="F20" s="159">
        <f t="shared" si="1"/>
        <v>1.0598451966620532</v>
      </c>
      <c r="G20" s="158">
        <f>'StatsCan CANSIM tables'!C117</f>
        <v>100</v>
      </c>
      <c r="H20" s="285">
        <f t="shared" si="2"/>
        <v>1.0235414534288638</v>
      </c>
      <c r="J20" s="330">
        <f t="shared" si="4"/>
        <v>1.1515607635713985</v>
      </c>
      <c r="K20" s="159">
        <f t="shared" si="5"/>
        <v>1.1384392208373333</v>
      </c>
      <c r="L20" s="306">
        <f t="shared" si="6"/>
        <v>1.1086474501108647</v>
      </c>
      <c r="M20" s="159">
        <f t="shared" si="0"/>
        <v>1.0329317144038359</v>
      </c>
      <c r="N20" s="169">
        <f t="shared" si="7"/>
        <v>1.1354504219317154</v>
      </c>
      <c r="O20" s="142">
        <f t="shared" si="9"/>
        <v>3.2401083793605553E-2</v>
      </c>
      <c r="P20" s="85"/>
      <c r="Q20" s="1">
        <f t="shared" si="3"/>
        <v>2007</v>
      </c>
      <c r="R20" s="124">
        <f>'EUCG L share'!E26</f>
        <v>0.61306700211317211</v>
      </c>
      <c r="S20" s="105">
        <f t="shared" si="8"/>
        <v>1.0326908373812644</v>
      </c>
      <c r="T20" s="105">
        <f t="shared" si="10"/>
        <v>1.1262272908781426</v>
      </c>
      <c r="U20" s="140">
        <f t="shared" si="11"/>
        <v>3.2167859167494497E-2</v>
      </c>
    </row>
    <row r="21" spans="2:21" ht="15">
      <c r="B21" s="184">
        <v>2008</v>
      </c>
      <c r="C21" s="158">
        <f>'StatsCan CANSIM tables'!$C33</f>
        <v>837.91</v>
      </c>
      <c r="D21" s="159">
        <f t="shared" si="1"/>
        <v>1.0235765504941303</v>
      </c>
      <c r="E21" s="158">
        <f>'StatsCan CANSIM tables'!$D$33</f>
        <v>1544.3</v>
      </c>
      <c r="F21" s="159">
        <f t="shared" si="1"/>
        <v>0.97900989596870813</v>
      </c>
      <c r="G21" s="158">
        <f>'StatsCan CANSIM tables'!C118</f>
        <v>102.5</v>
      </c>
      <c r="H21" s="285">
        <f t="shared" si="2"/>
        <v>1.0249999999999999</v>
      </c>
      <c r="J21" s="330">
        <f t="shared" si="4"/>
        <v>1.1787105940607989</v>
      </c>
      <c r="K21" s="159">
        <f t="shared" si="5"/>
        <v>1.1145432631586547</v>
      </c>
      <c r="L21" s="306">
        <f t="shared" si="6"/>
        <v>1.1363636363636362</v>
      </c>
      <c r="M21" s="159">
        <f t="shared" si="0"/>
        <v>1.0241073632402247</v>
      </c>
      <c r="N21" s="169">
        <f t="shared" si="7"/>
        <v>1.1628231376944895</v>
      </c>
      <c r="O21" s="142">
        <f t="shared" si="9"/>
        <v>2.3821368035544386E-2</v>
      </c>
      <c r="P21" s="85"/>
      <c r="Q21" s="1">
        <f t="shared" si="3"/>
        <v>2008</v>
      </c>
      <c r="R21" s="124">
        <f>'EUCG L share'!E27</f>
        <v>0.60069739532944366</v>
      </c>
      <c r="S21" s="105">
        <f t="shared" si="8"/>
        <v>1.0241361338341091</v>
      </c>
      <c r="T21" s="105">
        <f t="shared" si="10"/>
        <v>1.1534100634984035</v>
      </c>
      <c r="U21" s="140">
        <f t="shared" si="11"/>
        <v>2.3849460978524441E-2</v>
      </c>
    </row>
    <row r="22" spans="2:21" ht="15">
      <c r="B22" s="184">
        <v>2009</v>
      </c>
      <c r="C22" s="158">
        <f>'StatsCan CANSIM tables'!$C34</f>
        <v>848.85</v>
      </c>
      <c r="D22" s="159">
        <f t="shared" si="1"/>
        <v>1.0130562948288002</v>
      </c>
      <c r="E22" s="158">
        <f>'StatsCan CANSIM tables'!$D$34</f>
        <v>1672.72</v>
      </c>
      <c r="F22" s="159">
        <f t="shared" si="1"/>
        <v>1.0831574176002072</v>
      </c>
      <c r="G22" s="158">
        <f>'StatsCan CANSIM tables'!C119</f>
        <v>103.7</v>
      </c>
      <c r="H22" s="285">
        <f t="shared" si="2"/>
        <v>1.0117073170731707</v>
      </c>
      <c r="J22" s="330">
        <f t="shared" si="4"/>
        <v>1.194100187094687</v>
      </c>
      <c r="K22" s="159">
        <f t="shared" si="5"/>
        <v>1.2072258027266367</v>
      </c>
      <c r="L22" s="306">
        <f t="shared" si="6"/>
        <v>1.1496674057649667</v>
      </c>
      <c r="M22" s="159">
        <f t="shared" si="0"/>
        <v>1.0125532530391665</v>
      </c>
      <c r="N22" s="169">
        <f t="shared" si="7"/>
        <v>1.177420350781766</v>
      </c>
      <c r="O22" s="142">
        <f t="shared" si="9"/>
        <v>1.2475114209695947E-2</v>
      </c>
      <c r="P22" s="85"/>
      <c r="Q22" s="1">
        <f t="shared" si="3"/>
        <v>2009</v>
      </c>
      <c r="R22" s="124">
        <f>'EUCG L share'!E28</f>
        <v>0.62115919688781018</v>
      </c>
      <c r="S22" s="105">
        <f t="shared" si="8"/>
        <v>1.0125314457549059</v>
      </c>
      <c r="T22" s="105">
        <f t="shared" si="10"/>
        <v>1.1678639591422963</v>
      </c>
      <c r="U22" s="140">
        <f t="shared" si="11"/>
        <v>1.2453577051991453E-2</v>
      </c>
    </row>
    <row r="23" spans="2:21" ht="15">
      <c r="B23" s="184">
        <v>2010</v>
      </c>
      <c r="C23" s="158">
        <f>'StatsCan CANSIM tables'!$C35</f>
        <v>881.43</v>
      </c>
      <c r="D23" s="159">
        <f t="shared" si="1"/>
        <v>1.0383813394592682</v>
      </c>
      <c r="E23" s="158">
        <f>'StatsCan CANSIM tables'!$D$35</f>
        <v>1680.01</v>
      </c>
      <c r="F23" s="159">
        <f t="shared" si="1"/>
        <v>1.0043581711224832</v>
      </c>
      <c r="G23" s="158">
        <f>'StatsCan CANSIM tables'!C120</f>
        <v>104.8</v>
      </c>
      <c r="H23" s="285">
        <f t="shared" si="2"/>
        <v>1.0106075216972035</v>
      </c>
      <c r="J23" s="330">
        <f t="shared" si="4"/>
        <v>1.2399313517239439</v>
      </c>
      <c r="K23" s="159">
        <f t="shared" si="5"/>
        <v>1.2124870993583965</v>
      </c>
      <c r="L23" s="306">
        <f t="shared" si="6"/>
        <v>1.1618625277161863</v>
      </c>
      <c r="M23" s="159">
        <f t="shared" si="0"/>
        <v>1.0280243184233888</v>
      </c>
      <c r="N23" s="169">
        <f t="shared" si="7"/>
        <v>1.2104167536102524</v>
      </c>
      <c r="O23" s="142">
        <f>LN(N23/N22)</f>
        <v>2.7638822807053508E-2</v>
      </c>
      <c r="P23" s="85"/>
      <c r="Q23" s="1">
        <f t="shared" si="3"/>
        <v>2010</v>
      </c>
      <c r="R23" s="124">
        <f>'EUCG L share'!E29</f>
        <v>0.65393733292566514</v>
      </c>
      <c r="S23" s="105">
        <f t="shared" si="8"/>
        <v>1.0283146710212439</v>
      </c>
      <c r="T23" s="105">
        <f t="shared" si="10"/>
        <v>1.2009316429429779</v>
      </c>
      <c r="U23" s="140">
        <f t="shared" si="11"/>
        <v>2.7921220409078309E-2</v>
      </c>
    </row>
    <row r="24" spans="2:21" ht="15">
      <c r="B24" s="184">
        <v>2011</v>
      </c>
      <c r="C24" s="158">
        <f>'StatsCan CANSIM tables'!$C36</f>
        <v>893.41</v>
      </c>
      <c r="D24" s="159">
        <f t="shared" si="1"/>
        <v>1.0135915500947323</v>
      </c>
      <c r="E24" s="158">
        <f>'StatsCan CANSIM tables'!$D$36</f>
        <v>1714.92</v>
      </c>
      <c r="F24" s="159">
        <f t="shared" si="1"/>
        <v>1.0207796382164391</v>
      </c>
      <c r="G24" s="158">
        <f>'StatsCan CANSIM tables'!C121</f>
        <v>107.3</v>
      </c>
      <c r="H24" s="285">
        <f t="shared" si="2"/>
        <v>1.0238549618320612</v>
      </c>
      <c r="J24" s="330">
        <f t="shared" si="4"/>
        <v>1.2567839408049291</v>
      </c>
      <c r="K24" s="159">
        <f t="shared" si="5"/>
        <v>1.2376821426251636</v>
      </c>
      <c r="L24" s="306">
        <f t="shared" si="6"/>
        <v>1.189578713968958</v>
      </c>
      <c r="M24" s="159">
        <f t="shared" si="0"/>
        <v>1.0174188370804127</v>
      </c>
      <c r="N24" s="169">
        <f t="shared" si="7"/>
        <v>1.2315008058407915</v>
      </c>
      <c r="O24" s="142">
        <f t="shared" si="9"/>
        <v>1.7268868155919496E-2</v>
      </c>
      <c r="P24" s="85"/>
      <c r="Q24" s="1">
        <f t="shared" si="3"/>
        <v>2011</v>
      </c>
      <c r="R24" s="124">
        <f>'EUCG L share'!E30</f>
        <v>0.63266651684835484</v>
      </c>
      <c r="S24" s="105">
        <f t="shared" si="8"/>
        <v>1.0172524893055295</v>
      </c>
      <c r="T24" s="105">
        <f t="shared" si="10"/>
        <v>1.2216507032695236</v>
      </c>
      <c r="U24" s="140">
        <f t="shared" si="11"/>
        <v>1.7105354989840404E-2</v>
      </c>
    </row>
    <row r="25" spans="2:21" ht="15">
      <c r="B25" s="184">
        <v>2012</v>
      </c>
      <c r="C25" s="158">
        <f>'StatsCan CANSIM tables'!$C37</f>
        <v>906.09</v>
      </c>
      <c r="D25" s="159">
        <f t="shared" si="1"/>
        <v>1.0141928118109267</v>
      </c>
      <c r="E25" s="158">
        <f>'StatsCan CANSIM tables'!$D$37</f>
        <v>1707.11</v>
      </c>
      <c r="F25" s="159">
        <f t="shared" si="1"/>
        <v>0.99544585170153699</v>
      </c>
      <c r="G25" s="158">
        <f>'StatsCan CANSIM tables'!C122</f>
        <v>109.1</v>
      </c>
      <c r="H25" s="285">
        <f t="shared" si="2"/>
        <v>1.0167753960857409</v>
      </c>
      <c r="J25" s="330">
        <f t="shared" si="4"/>
        <v>1.2746212387637683</v>
      </c>
      <c r="K25" s="159">
        <f t="shared" si="5"/>
        <v>1.2320455546012892</v>
      </c>
      <c r="L25" s="306">
        <f t="shared" si="6"/>
        <v>1.2095343680709534</v>
      </c>
      <c r="M25" s="159">
        <f t="shared" si="0"/>
        <v>1.0151558727732448</v>
      </c>
      <c r="N25" s="169">
        <f t="shared" si="7"/>
        <v>1.2501652753742629</v>
      </c>
      <c r="O25" s="142">
        <f t="shared" si="9"/>
        <v>1.5042169937926779E-2</v>
      </c>
      <c r="P25" s="85"/>
      <c r="Q25" s="1">
        <f t="shared" si="3"/>
        <v>2012</v>
      </c>
      <c r="R25" s="124">
        <f>'EUCG L share'!E31</f>
        <v>0.65340959143339117</v>
      </c>
      <c r="S25" s="105">
        <f t="shared" si="8"/>
        <v>1.0151146961190096</v>
      </c>
      <c r="T25" s="105">
        <f t="shared" si="10"/>
        <v>1.2401155824130168</v>
      </c>
      <c r="U25" s="140">
        <f t="shared" si="11"/>
        <v>1.5001607212079545E-2</v>
      </c>
    </row>
    <row r="26" spans="2:21" ht="15">
      <c r="B26" s="184">
        <v>2013</v>
      </c>
      <c r="C26" s="158">
        <f>'StatsCan CANSIM tables'!$C38</f>
        <v>920.12</v>
      </c>
      <c r="D26" s="159">
        <f t="shared" ref="D26:D27" si="12">C26/C25</f>
        <v>1.0154841130572019</v>
      </c>
      <c r="E26" s="158">
        <f>'StatsCan CANSIM tables'!$D$37</f>
        <v>1707.11</v>
      </c>
      <c r="F26" s="159">
        <f t="shared" ref="F26:F27" si="13">E26/E25</f>
        <v>1</v>
      </c>
      <c r="G26" s="158">
        <f>'StatsCan CANSIM tables'!C123</f>
        <v>111</v>
      </c>
      <c r="H26" s="285">
        <f>G26/G25</f>
        <v>1.0174152153987168</v>
      </c>
      <c r="J26" s="330">
        <f t="shared" ref="J26:J27" si="14">J25*D26</f>
        <v>1.2943576181298972</v>
      </c>
      <c r="K26" s="159">
        <f t="shared" ref="K26:K27" si="15">K25*F26</f>
        <v>1.2320455546012892</v>
      </c>
      <c r="L26" s="306">
        <f t="shared" ref="L26:L27" si="16">L25*H26</f>
        <v>1.23059866962306</v>
      </c>
      <c r="M26" s="159">
        <f t="shared" ref="M26:M27" si="17">D26*$H$1+H26*$H$2</f>
        <v>1.0162042325504905</v>
      </c>
      <c r="N26" s="169">
        <f t="shared" ref="N26:N27" si="18">N25*M26</f>
        <v>1.2704232442229755</v>
      </c>
      <c r="O26" s="142">
        <f t="shared" ref="O26:O27" si="19">LN(N26/N25)</f>
        <v>1.6074345245075755E-2</v>
      </c>
      <c r="P26" s="85"/>
      <c r="Q26" s="1">
        <f t="shared" si="3"/>
        <v>2013</v>
      </c>
      <c r="R26" s="124">
        <f>'EUCG L share'!E32</f>
        <v>0.63782007263824037</v>
      </c>
      <c r="S26" s="105">
        <f t="shared" si="8"/>
        <v>1.0161684670848556</v>
      </c>
      <c r="T26" s="105">
        <f t="shared" ref="T26:T27" si="20">T25*S26</f>
        <v>1.2601663503886782</v>
      </c>
      <c r="U26" s="140">
        <f t="shared" ref="U26:U27" si="21">LN(T26/T25)</f>
        <v>1.6039149470555663E-2</v>
      </c>
    </row>
    <row r="27" spans="2:21" ht="15">
      <c r="B27" s="185">
        <v>2014</v>
      </c>
      <c r="C27" s="319">
        <f>'StatsCan CANSIM tables'!$C39</f>
        <v>938.36</v>
      </c>
      <c r="D27" s="308">
        <f t="shared" si="12"/>
        <v>1.0198235012824415</v>
      </c>
      <c r="E27" s="319">
        <f>'StatsCan CANSIM tables'!$D$37</f>
        <v>1707.11</v>
      </c>
      <c r="F27" s="308">
        <f t="shared" si="13"/>
        <v>1</v>
      </c>
      <c r="G27" s="319">
        <f>'StatsCan CANSIM tables'!C124</f>
        <v>113.4</v>
      </c>
      <c r="H27" s="309">
        <f>G27/G26</f>
        <v>1.0216216216216216</v>
      </c>
      <c r="J27" s="330">
        <f t="shared" si="14"/>
        <v>1.3200163180328333</v>
      </c>
      <c r="K27" s="159">
        <f t="shared" si="15"/>
        <v>1.2320455546012892</v>
      </c>
      <c r="L27" s="306">
        <f t="shared" si="16"/>
        <v>1.2572062084257207</v>
      </c>
      <c r="M27" s="159">
        <f t="shared" si="17"/>
        <v>1.0204940309999428</v>
      </c>
      <c r="N27" s="169">
        <f t="shared" si="18"/>
        <v>1.296459337573129</v>
      </c>
      <c r="O27" s="142">
        <f t="shared" si="19"/>
        <v>2.0286854157018835E-2</v>
      </c>
      <c r="P27" s="85"/>
      <c r="Q27" s="1">
        <f t="shared" si="3"/>
        <v>2014</v>
      </c>
      <c r="R27" s="124">
        <f>'EUCG L share'!E33</f>
        <v>0.641921054308773</v>
      </c>
      <c r="S27" s="105">
        <f t="shared" si="8"/>
        <v>1.0204710573469973</v>
      </c>
      <c r="T27" s="105">
        <f t="shared" si="20"/>
        <v>1.2859632880142411</v>
      </c>
      <c r="U27" s="140">
        <f t="shared" si="21"/>
        <v>2.0264341618144253E-2</v>
      </c>
    </row>
    <row r="28" spans="2:21" ht="15.75" thickBot="1">
      <c r="J28" s="331"/>
      <c r="K28" s="332"/>
      <c r="L28" s="332"/>
      <c r="M28" s="59"/>
      <c r="N28" s="170"/>
      <c r="O28" s="171">
        <f>AVERAGE(O16:O27)</f>
        <v>2.1636413522948452E-2</v>
      </c>
      <c r="R28" s="1"/>
      <c r="S28" s="1"/>
      <c r="T28" s="1"/>
      <c r="U28" s="143">
        <f>AVERAGE(U16:U27)</f>
        <v>2.0959006498759397E-2</v>
      </c>
    </row>
  </sheetData>
  <pageMargins left="0.7" right="0.7" top="0.75" bottom="0.75" header="0.3" footer="0.3"/>
  <pageSetup orientation="portrait" r:id="rId1"/>
  <headerFooter>
    <oddHeader>&amp;CFiled: 2016-10-26, EB-2016-0152
Exhibit L, Tab 11.1, Schedule 1 Staff-246
Attachment 2</oddHeader>
  </headerFooter>
  <ignoredErrors>
    <ignoredError sqref="E6 E7:E14 G6:G14 E15:E25 G15 G16:G27" formula="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7"/>
  <sheetViews>
    <sheetView showGridLines="0" tabSelected="1" view="pageLayout" topLeftCell="A14" zoomScaleNormal="100" workbookViewId="0">
      <selection activeCell="A2" sqref="A2"/>
    </sheetView>
  </sheetViews>
  <sheetFormatPr defaultRowHeight="12.75"/>
  <cols>
    <col min="1" max="1" width="2.85546875" customWidth="1"/>
    <col min="3" max="4" width="21" customWidth="1"/>
    <col min="5" max="5" width="24" customWidth="1"/>
    <col min="6" max="6" width="20.28515625" customWidth="1"/>
    <col min="7" max="7" width="17.140625" customWidth="1"/>
    <col min="8" max="8" width="11.85546875" customWidth="1"/>
    <col min="9" max="9" width="10.7109375" customWidth="1"/>
    <col min="11" max="11" width="10.7109375" customWidth="1"/>
  </cols>
  <sheetData>
    <row r="1" spans="2:12" ht="13.5" thickBot="1">
      <c r="B1" s="18" t="s">
        <v>176</v>
      </c>
      <c r="E1" s="18" t="s">
        <v>33</v>
      </c>
      <c r="F1" s="84">
        <f>'EUCG L share'!$E$34</f>
        <v>0.62709408102958719</v>
      </c>
    </row>
    <row r="2" spans="2:12">
      <c r="B2" s="18" t="s">
        <v>585</v>
      </c>
      <c r="E2" s="18" t="s">
        <v>34</v>
      </c>
      <c r="F2" s="19">
        <f>1-F1</f>
        <v>0.37290591897041281</v>
      </c>
      <c r="H2" s="18" t="s">
        <v>177</v>
      </c>
      <c r="I2" s="18" t="s">
        <v>177</v>
      </c>
      <c r="J2" s="18" t="s">
        <v>177</v>
      </c>
      <c r="K2" s="162" t="s">
        <v>177</v>
      </c>
      <c r="L2" s="163" t="s">
        <v>177</v>
      </c>
    </row>
    <row r="3" spans="2:12">
      <c r="H3" s="18" t="s">
        <v>101</v>
      </c>
      <c r="I3" s="18" t="s">
        <v>208</v>
      </c>
      <c r="J3" s="18" t="s">
        <v>216</v>
      </c>
      <c r="K3" s="164" t="s">
        <v>216</v>
      </c>
      <c r="L3" s="165" t="s">
        <v>216</v>
      </c>
    </row>
    <row r="4" spans="2:12" ht="75">
      <c r="B4" s="68" t="s">
        <v>4</v>
      </c>
      <c r="C4" s="77" t="s">
        <v>183</v>
      </c>
      <c r="D4" s="77" t="s">
        <v>184</v>
      </c>
      <c r="E4" s="77" t="s">
        <v>185</v>
      </c>
      <c r="F4" s="77" t="s">
        <v>186</v>
      </c>
      <c r="H4" s="77" t="s">
        <v>95</v>
      </c>
      <c r="I4" s="77" t="s">
        <v>97</v>
      </c>
      <c r="J4" s="77" t="s">
        <v>108</v>
      </c>
      <c r="K4" s="166" t="s">
        <v>107</v>
      </c>
      <c r="L4" s="155" t="s">
        <v>243</v>
      </c>
    </row>
    <row r="5" spans="2:12" ht="15" hidden="1">
      <c r="B5" s="20">
        <v>1991</v>
      </c>
      <c r="C5" s="21"/>
      <c r="D5" s="22"/>
      <c r="E5" s="21"/>
      <c r="F5" s="22"/>
      <c r="H5" s="22"/>
      <c r="I5" s="78"/>
      <c r="J5" s="22"/>
      <c r="K5" s="167"/>
      <c r="L5" s="168"/>
    </row>
    <row r="6" spans="2:12" ht="15" hidden="1">
      <c r="B6" s="20">
        <v>1992</v>
      </c>
      <c r="C6" s="21"/>
      <c r="D6" s="22"/>
      <c r="E6" s="21"/>
      <c r="F6" s="22"/>
      <c r="H6" s="22"/>
      <c r="I6" s="78"/>
      <c r="J6" s="22"/>
      <c r="K6" s="167"/>
      <c r="L6" s="168"/>
    </row>
    <row r="7" spans="2:12" ht="15" hidden="1">
      <c r="B7" s="20">
        <v>1993</v>
      </c>
      <c r="C7" s="21"/>
      <c r="D7" s="22"/>
      <c r="E7" s="21"/>
      <c r="F7" s="22"/>
      <c r="H7" s="22"/>
      <c r="I7" s="78"/>
      <c r="J7" s="22"/>
      <c r="K7" s="167"/>
      <c r="L7" s="168"/>
    </row>
    <row r="8" spans="2:12" ht="15" hidden="1">
      <c r="B8" s="20">
        <v>1994</v>
      </c>
      <c r="C8" s="21"/>
      <c r="D8" s="22"/>
      <c r="E8" s="21"/>
      <c r="F8" s="22"/>
      <c r="H8" s="22"/>
      <c r="I8" s="78"/>
      <c r="J8" s="22"/>
      <c r="K8" s="167"/>
      <c r="L8" s="168"/>
    </row>
    <row r="9" spans="2:12" ht="15" hidden="1">
      <c r="B9" s="20">
        <v>1995</v>
      </c>
      <c r="C9" s="21"/>
      <c r="D9" s="22"/>
      <c r="E9" s="21"/>
      <c r="F9" s="22"/>
      <c r="H9" s="22"/>
      <c r="I9" s="78"/>
      <c r="J9" s="22"/>
      <c r="K9" s="167"/>
      <c r="L9" s="168"/>
    </row>
    <row r="10" spans="2:12" ht="15" hidden="1">
      <c r="B10" s="20">
        <v>1996</v>
      </c>
      <c r="C10" s="21"/>
      <c r="D10" s="22"/>
      <c r="E10" s="21"/>
      <c r="F10" s="22"/>
      <c r="H10" s="22"/>
      <c r="I10" s="78"/>
      <c r="J10" s="22"/>
      <c r="K10" s="167"/>
      <c r="L10" s="168"/>
    </row>
    <row r="11" spans="2:12" ht="15" hidden="1">
      <c r="B11" s="20">
        <v>1997</v>
      </c>
      <c r="C11" s="21"/>
      <c r="D11" s="22"/>
      <c r="E11" s="21"/>
      <c r="F11" s="22"/>
      <c r="H11" s="22"/>
      <c r="I11" s="78"/>
      <c r="J11" s="22"/>
      <c r="K11" s="167"/>
      <c r="L11" s="168"/>
    </row>
    <row r="12" spans="2:12" ht="15" hidden="1">
      <c r="B12" s="20">
        <v>1998</v>
      </c>
      <c r="C12" s="21"/>
      <c r="D12" s="22"/>
      <c r="E12" s="21"/>
      <c r="F12" s="22"/>
      <c r="H12" s="22"/>
      <c r="I12" s="78"/>
      <c r="J12" s="22"/>
      <c r="K12" s="167"/>
      <c r="L12" s="168"/>
    </row>
    <row r="13" spans="2:12" ht="15" hidden="1">
      <c r="B13" s="20">
        <v>1999</v>
      </c>
      <c r="C13" s="21"/>
      <c r="D13" s="22"/>
      <c r="E13" s="21"/>
      <c r="F13" s="22"/>
      <c r="H13" s="22"/>
      <c r="I13" s="78"/>
      <c r="J13" s="22"/>
      <c r="K13" s="167"/>
      <c r="L13" s="168"/>
    </row>
    <row r="14" spans="2:12" ht="15">
      <c r="B14" s="20">
        <v>2002</v>
      </c>
      <c r="C14" s="21">
        <f>'US BLS &amp; BEA tables'!G18</f>
        <v>91.3</v>
      </c>
      <c r="D14" s="22">
        <v>1</v>
      </c>
      <c r="E14" s="21">
        <f>'US BLS &amp; BEA tables'!N18</f>
        <v>85.054000000000002</v>
      </c>
      <c r="F14" s="22">
        <v>1</v>
      </c>
      <c r="H14" s="78">
        <v>1</v>
      </c>
      <c r="I14" s="78">
        <v>1</v>
      </c>
      <c r="J14" s="22">
        <f t="shared" ref="J14:J24" si="0">D14*$F$1+F14*$F$2</f>
        <v>1</v>
      </c>
      <c r="K14" s="169">
        <v>1</v>
      </c>
      <c r="L14" s="168"/>
    </row>
    <row r="15" spans="2:12" ht="15">
      <c r="B15" s="20">
        <v>2003</v>
      </c>
      <c r="C15" s="21">
        <f>'US BLS &amp; BEA tables'!G19</f>
        <v>93.775000000000006</v>
      </c>
      <c r="D15" s="22">
        <f t="shared" ref="D15:D24" si="1">C15/C14</f>
        <v>1.0271084337349399</v>
      </c>
      <c r="E15" s="21">
        <f>'US BLS &amp; BEA tables'!N19</f>
        <v>86.754000000000005</v>
      </c>
      <c r="F15" s="22">
        <f t="shared" ref="F15:F24" si="2">E15/E14</f>
        <v>1.0199873021844945</v>
      </c>
      <c r="H15" s="78">
        <f t="shared" ref="H15:H24" si="3">H14*D15</f>
        <v>1.0271084337349399</v>
      </c>
      <c r="I15" s="78">
        <f t="shared" ref="I15:I24" si="4">I14*F15</f>
        <v>1.0199873021844945</v>
      </c>
      <c r="J15" s="22">
        <f t="shared" si="0"/>
        <v>1.024452921630012</v>
      </c>
      <c r="K15" s="169">
        <f t="shared" ref="K15:K23" si="5">K14*J15</f>
        <v>1.024452921630012</v>
      </c>
      <c r="L15" s="142">
        <f>LN(K15/K14)</f>
        <v>2.4158735108036223E-2</v>
      </c>
    </row>
    <row r="16" spans="2:12" ht="15">
      <c r="B16" s="20">
        <v>2004</v>
      </c>
      <c r="C16" s="21">
        <f>'US BLS &amp; BEA tables'!G20</f>
        <v>96.625</v>
      </c>
      <c r="D16" s="22">
        <f t="shared" si="1"/>
        <v>1.0303918954945348</v>
      </c>
      <c r="E16" s="21">
        <f>'US BLS &amp; BEA tables'!N20</f>
        <v>89.132000000000005</v>
      </c>
      <c r="F16" s="22">
        <f t="shared" si="2"/>
        <v>1.0274108398460013</v>
      </c>
      <c r="H16" s="78">
        <f t="shared" si="3"/>
        <v>1.0583242059145674</v>
      </c>
      <c r="I16" s="78">
        <f t="shared" si="4"/>
        <v>1.0479460107696286</v>
      </c>
      <c r="J16" s="22">
        <f t="shared" si="0"/>
        <v>1.0292802421984164</v>
      </c>
      <c r="K16" s="169">
        <f t="shared" si="5"/>
        <v>1.054449151296214</v>
      </c>
      <c r="L16" s="142">
        <f t="shared" ref="L16:L24" si="6">LN(K16/K15)</f>
        <v>2.8859763989106637E-2</v>
      </c>
    </row>
    <row r="17" spans="2:12" ht="15">
      <c r="B17" s="20">
        <v>2005</v>
      </c>
      <c r="C17" s="21">
        <f>'US BLS &amp; BEA tables'!G21</f>
        <v>99.275000000000006</v>
      </c>
      <c r="D17" s="22">
        <f t="shared" si="1"/>
        <v>1.0274256144890039</v>
      </c>
      <c r="E17" s="21">
        <f>'US BLS &amp; BEA tables'!N21</f>
        <v>91.991</v>
      </c>
      <c r="F17" s="22">
        <f t="shared" si="2"/>
        <v>1.0320760220796121</v>
      </c>
      <c r="H17" s="78">
        <f t="shared" si="3"/>
        <v>1.0873493975903616</v>
      </c>
      <c r="I17" s="78">
        <f t="shared" si="4"/>
        <v>1.0815599501493167</v>
      </c>
      <c r="J17" s="22">
        <f t="shared" si="0"/>
        <v>1.0291597790051668</v>
      </c>
      <c r="K17" s="169">
        <f t="shared" si="5"/>
        <v>1.0851966555201973</v>
      </c>
      <c r="L17" s="142">
        <f t="shared" si="6"/>
        <v>2.8742720798975951E-2</v>
      </c>
    </row>
    <row r="18" spans="2:12" ht="15">
      <c r="B18" s="20">
        <v>2006</v>
      </c>
      <c r="C18" s="21">
        <f>'US BLS &amp; BEA tables'!G22</f>
        <v>102.35</v>
      </c>
      <c r="D18" s="22">
        <f>C18/C17</f>
        <v>1.0309745656006042</v>
      </c>
      <c r="E18" s="21">
        <f>'US BLS &amp; BEA tables'!N22</f>
        <v>94.817999999999998</v>
      </c>
      <c r="F18" s="22">
        <f t="shared" si="2"/>
        <v>1.0307312671891815</v>
      </c>
      <c r="H18" s="78">
        <f>H17*D18</f>
        <v>1.1210295728368018</v>
      </c>
      <c r="I18" s="78">
        <f t="shared" si="4"/>
        <v>1.1147976579584733</v>
      </c>
      <c r="J18" s="22">
        <f t="shared" si="0"/>
        <v>1.0308838381829086</v>
      </c>
      <c r="K18" s="169">
        <f t="shared" si="5"/>
        <v>1.1187116934259167</v>
      </c>
      <c r="L18" s="142">
        <f t="shared" si="6"/>
        <v>3.041652961144244E-2</v>
      </c>
    </row>
    <row r="19" spans="2:12" ht="15">
      <c r="B19" s="20">
        <v>2007</v>
      </c>
      <c r="C19" s="21">
        <f>'US BLS &amp; BEA tables'!G23</f>
        <v>105.675</v>
      </c>
      <c r="D19" s="22">
        <f t="shared" si="1"/>
        <v>1.032486565705911</v>
      </c>
      <c r="E19" s="21">
        <f>'US BLS &amp; BEA tables'!N23</f>
        <v>97.334999999999994</v>
      </c>
      <c r="F19" s="22">
        <f t="shared" si="2"/>
        <v>1.0265455926089984</v>
      </c>
      <c r="H19" s="78">
        <f t="shared" si="3"/>
        <v>1.1574479737130339</v>
      </c>
      <c r="I19" s="78">
        <f t="shared" si="4"/>
        <v>1.1443906224281044</v>
      </c>
      <c r="J19" s="22">
        <f t="shared" si="0"/>
        <v>1.0302711416736283</v>
      </c>
      <c r="K19" s="169">
        <f t="shared" si="5"/>
        <v>1.1525763735895573</v>
      </c>
      <c r="L19" s="142">
        <f t="shared" si="6"/>
        <v>2.9822011942160255E-2</v>
      </c>
    </row>
    <row r="20" spans="2:12" ht="15">
      <c r="B20" s="20">
        <v>2008</v>
      </c>
      <c r="C20" s="21">
        <f>'US BLS &amp; BEA tables'!G24</f>
        <v>109.05000000000001</v>
      </c>
      <c r="D20" s="22">
        <f t="shared" si="1"/>
        <v>1.0319375443577006</v>
      </c>
      <c r="E20" s="21">
        <f>'US BLS &amp; BEA tables'!N24</f>
        <v>99.236000000000004</v>
      </c>
      <c r="F20" s="22">
        <f t="shared" si="2"/>
        <v>1.0195304874916526</v>
      </c>
      <c r="H20" s="78">
        <f t="shared" si="3"/>
        <v>1.1944140197152247</v>
      </c>
      <c r="I20" s="78">
        <f t="shared" si="4"/>
        <v>1.1667411291650012</v>
      </c>
      <c r="J20" s="22">
        <f t="shared" si="0"/>
        <v>1.0273108794153489</v>
      </c>
      <c r="K20" s="169">
        <f t="shared" si="5"/>
        <v>1.184054247945642</v>
      </c>
      <c r="L20" s="142">
        <f t="shared" si="6"/>
        <v>2.6944591484158818E-2</v>
      </c>
    </row>
    <row r="21" spans="2:12" ht="15">
      <c r="B21" s="20">
        <v>2009</v>
      </c>
      <c r="C21" s="21">
        <f>'US BLS &amp; BEA tables'!G25</f>
        <v>112.125</v>
      </c>
      <c r="D21" s="22">
        <f t="shared" si="1"/>
        <v>1.028198074277854</v>
      </c>
      <c r="E21" s="21">
        <f>'US BLS &amp; BEA tables'!N25</f>
        <v>100</v>
      </c>
      <c r="F21" s="22">
        <f t="shared" si="2"/>
        <v>1.0076988189769842</v>
      </c>
      <c r="H21" s="78">
        <f t="shared" si="3"/>
        <v>1.2280941949616648</v>
      </c>
      <c r="I21" s="78">
        <f t="shared" si="4"/>
        <v>1.1757236579114447</v>
      </c>
      <c r="J21" s="22">
        <f t="shared" si="0"/>
        <v>1.020553780641674</v>
      </c>
      <c r="K21" s="169">
        <f t="shared" si="5"/>
        <v>1.2083910392257591</v>
      </c>
      <c r="L21" s="142">
        <f t="shared" si="6"/>
        <v>2.0345402164965967E-2</v>
      </c>
    </row>
    <row r="22" spans="2:12" ht="15">
      <c r="B22" s="20">
        <v>2010</v>
      </c>
      <c r="C22" s="21">
        <f>'US BLS &amp; BEA tables'!G26</f>
        <v>114.9</v>
      </c>
      <c r="D22" s="22">
        <f t="shared" si="1"/>
        <v>1.0247491638795987</v>
      </c>
      <c r="E22" s="21">
        <f>'US BLS &amp; BEA tables'!N26</f>
        <v>101.211</v>
      </c>
      <c r="F22" s="22">
        <f t="shared" si="2"/>
        <v>1.0121100000000001</v>
      </c>
      <c r="H22" s="78">
        <f t="shared" si="3"/>
        <v>1.2584884994523549</v>
      </c>
      <c r="I22" s="78">
        <f t="shared" si="4"/>
        <v>1.1899616714087524</v>
      </c>
      <c r="J22" s="22">
        <f t="shared" si="0"/>
        <v>1.0200359448580594</v>
      </c>
      <c r="K22" s="169">
        <f t="shared" si="5"/>
        <v>1.2326022954546594</v>
      </c>
      <c r="L22" s="142">
        <f t="shared" si="6"/>
        <v>1.9837866732184448E-2</v>
      </c>
    </row>
    <row r="23" spans="2:12" ht="15">
      <c r="B23" s="20">
        <v>2011</v>
      </c>
      <c r="C23" s="21">
        <f>'US BLS &amp; BEA tables'!G27</f>
        <v>118.075</v>
      </c>
      <c r="D23" s="22">
        <f t="shared" si="1"/>
        <v>1.0276327241079199</v>
      </c>
      <c r="E23" s="21">
        <f>'US BLS &amp; BEA tables'!N27</f>
        <v>103.199</v>
      </c>
      <c r="F23" s="22">
        <f t="shared" si="2"/>
        <v>1.0196421337601644</v>
      </c>
      <c r="H23" s="78">
        <f t="shared" si="3"/>
        <v>1.2932639649507121</v>
      </c>
      <c r="I23" s="78">
        <f t="shared" si="4"/>
        <v>1.213335057728032</v>
      </c>
      <c r="J23" s="22">
        <f t="shared" si="0"/>
        <v>1.0246529856711741</v>
      </c>
      <c r="K23" s="169">
        <f t="shared" si="5"/>
        <v>1.2629896221827595</v>
      </c>
      <c r="L23" s="142">
        <f t="shared" si="6"/>
        <v>2.435400470448313E-2</v>
      </c>
    </row>
    <row r="24" spans="2:12" ht="15">
      <c r="B24" s="20">
        <v>2012</v>
      </c>
      <c r="C24" s="21">
        <f>'US BLS &amp; BEA tables'!G28</f>
        <v>120.97499999999999</v>
      </c>
      <c r="D24" s="22">
        <f t="shared" si="1"/>
        <v>1.0245606605970781</v>
      </c>
      <c r="E24" s="21">
        <f>'US BLS &amp; BEA tables'!N28</f>
        <v>105.002</v>
      </c>
      <c r="F24" s="22">
        <f t="shared" si="2"/>
        <v>1.0174710995261582</v>
      </c>
      <c r="H24" s="78">
        <f t="shared" si="3"/>
        <v>1.3250273822562979</v>
      </c>
      <c r="I24" s="78">
        <f t="shared" si="4"/>
        <v>1.2345333552801754</v>
      </c>
      <c r="J24" s="22">
        <f t="shared" si="0"/>
        <v>1.0219169213108299</v>
      </c>
      <c r="K24" s="169">
        <f>K23*J24</f>
        <v>1.2906704663485338</v>
      </c>
      <c r="L24" s="142">
        <f t="shared" si="6"/>
        <v>2.1680198174762202E-2</v>
      </c>
    </row>
    <row r="25" spans="2:12" ht="15">
      <c r="B25" s="20">
        <v>2013</v>
      </c>
      <c r="C25" s="21">
        <f>'US BLS &amp; BEA tables'!G29</f>
        <v>124.325</v>
      </c>
      <c r="D25" s="22">
        <f t="shared" ref="D25:D26" si="7">C25/C24</f>
        <v>1.0276916718330233</v>
      </c>
      <c r="E25" s="21">
        <f>'US BLS &amp; BEA tables'!N29</f>
        <v>106.58799999999999</v>
      </c>
      <c r="F25" s="22">
        <f t="shared" ref="F25:F26" si="8">E25/E24</f>
        <v>1.0151044742004913</v>
      </c>
      <c r="H25" s="78">
        <f t="shared" ref="H25:H26" si="9">H24*D25</f>
        <v>1.3617196056955092</v>
      </c>
      <c r="I25" s="78">
        <f t="shared" ref="I25:I26" si="10">I24*F25</f>
        <v>1.2531803324946509</v>
      </c>
      <c r="J25" s="22">
        <f t="shared" ref="J25:J26" si="11">D25*$F$1+F25*$F$2</f>
        <v>1.0229978313326018</v>
      </c>
      <c r="K25" s="169">
        <f t="shared" ref="K25:K26" si="12">K24*J25</f>
        <v>1.320353088039588</v>
      </c>
      <c r="L25" s="142">
        <f t="shared" ref="L25:L26" si="13">LN(K25/K24)</f>
        <v>2.2737367057762265E-2</v>
      </c>
    </row>
    <row r="26" spans="2:12" ht="15">
      <c r="B26" s="20">
        <v>2014</v>
      </c>
      <c r="C26" s="21">
        <f>'US BLS &amp; BEA tables'!G30</f>
        <v>127.7</v>
      </c>
      <c r="D26" s="22">
        <f t="shared" si="7"/>
        <v>1.027146591594611</v>
      </c>
      <c r="E26" s="21">
        <f>'US BLS &amp; BEA tables'!N30</f>
        <v>108.68600000000001</v>
      </c>
      <c r="F26" s="22">
        <f t="shared" si="8"/>
        <v>1.0196832664089768</v>
      </c>
      <c r="H26" s="78">
        <f t="shared" si="9"/>
        <v>1.3986856516977</v>
      </c>
      <c r="I26" s="78">
        <f t="shared" si="10"/>
        <v>1.2778470148376333</v>
      </c>
      <c r="J26" s="22">
        <f t="shared" si="11"/>
        <v>1.024363473457687</v>
      </c>
      <c r="K26" s="169">
        <f t="shared" si="12"/>
        <v>1.3525214754548154</v>
      </c>
      <c r="L26" s="142">
        <f t="shared" si="13"/>
        <v>2.4071418184375977E-2</v>
      </c>
    </row>
    <row r="27" spans="2:12" ht="15.75" thickBot="1">
      <c r="B27" s="20"/>
      <c r="C27" s="21"/>
      <c r="D27" s="22"/>
      <c r="E27" s="21"/>
      <c r="F27" s="22"/>
      <c r="I27" s="109"/>
      <c r="K27" s="170"/>
      <c r="L27" s="171">
        <f>AVERAGE(L15:L26)</f>
        <v>2.5164217496034522E-2</v>
      </c>
    </row>
  </sheetData>
  <pageMargins left="0.7" right="0.7" top="0.75" bottom="0.75" header="0.3" footer="0.3"/>
  <pageSetup orientation="landscape" r:id="rId1"/>
  <headerFooter>
    <oddHeader>&amp;CFiled: 2016-10-26, EB-2016-0152
Exhibit L, Tab 11.1, Schedule 1 Staff-246
Attachment 2</oddHeader>
  </headerFooter>
  <ignoredErrors>
    <ignoredError sqref="E14:E2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Cover sheet</vt:lpstr>
      <vt:lpstr>graphs</vt:lpstr>
      <vt:lpstr>READ_ME</vt:lpstr>
      <vt:lpstr>TFP_Calcs</vt:lpstr>
      <vt:lpstr>TFP_dataset</vt:lpstr>
      <vt:lpstr>OPG hydro peers</vt:lpstr>
      <vt:lpstr>NA comb O&amp;M price indexes</vt:lpstr>
      <vt:lpstr>Can O&amp;M price indexes</vt:lpstr>
      <vt:lpstr>US O&amp;M price indexes</vt:lpstr>
      <vt:lpstr>EUCG L share</vt:lpstr>
      <vt:lpstr>StatsCan CANSIM tables</vt:lpstr>
      <vt:lpstr>US BLS &amp; BEA tables</vt:lpstr>
      <vt:lpstr>'Cover sheet'!Print_Area</vt:lpstr>
      <vt:lpstr>READ_ME!Print_Area</vt:lpstr>
      <vt:lpstr>TFP_Calcs!Print_Area</vt:lpstr>
      <vt:lpstr>TFP_dataset!Print_Area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Kelima</dc:creator>
  <cp:lastModifiedBy>Lillian Ing</cp:lastModifiedBy>
  <dcterms:created xsi:type="dcterms:W3CDTF">2014-02-27T01:32:42Z</dcterms:created>
  <dcterms:modified xsi:type="dcterms:W3CDTF">2016-10-26T19:47:10Z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{7686A902-D4B8-4B31-B396-3382FEC61728}</vt:lpwstr>
  </property>
</Properties>
</file>