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LEGAL &amp; GOVERNMENT\Ontario Energy Board\Rate Decisions_Orders\2017_05_RA\2017 EDR Application\Submission\"/>
    </mc:Choice>
  </mc:AlternateContent>
  <bookViews>
    <workbookView xWindow="0" yWindow="0" windowWidth="24000" windowHeight="9270" tabRatio="790"/>
  </bookViews>
  <sheets>
    <sheet name="Table 2  CDM Calc by Program" sheetId="13" r:id="rId1"/>
  </sheets>
  <definedNames>
    <definedName name="_xlnm.Print_Area" localSheetId="0">'Table 2  CDM Calc by Program'!$A$1:$S$85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2" i="13" l="1"/>
  <c r="R82" i="13"/>
  <c r="Q82" i="13"/>
  <c r="P82" i="13"/>
  <c r="C82" i="13"/>
  <c r="O82" i="13" s="1"/>
  <c r="M80" i="13"/>
  <c r="N80" i="13" s="1"/>
  <c r="L80" i="13"/>
  <c r="K80" i="13"/>
  <c r="J80" i="13"/>
  <c r="I80" i="13"/>
  <c r="H80" i="13"/>
  <c r="G78" i="13"/>
  <c r="G77" i="13"/>
  <c r="G76" i="13"/>
  <c r="G75" i="13"/>
  <c r="G80" i="13" s="1"/>
  <c r="M74" i="13"/>
  <c r="L74" i="13"/>
  <c r="S74" i="13" s="1"/>
  <c r="K74" i="13"/>
  <c r="N74" i="13" s="1"/>
  <c r="J74" i="13"/>
  <c r="I74" i="13"/>
  <c r="H74" i="13"/>
  <c r="F74" i="13"/>
  <c r="F83" i="13" s="1"/>
  <c r="M70" i="13"/>
  <c r="L70" i="13"/>
  <c r="S70" i="13" s="1"/>
  <c r="K70" i="13"/>
  <c r="R70" i="13" s="1"/>
  <c r="J70" i="13"/>
  <c r="N70" i="13" s="1"/>
  <c r="I70" i="13"/>
  <c r="H70" i="13"/>
  <c r="E70" i="13"/>
  <c r="E83" i="13" s="1"/>
  <c r="S67" i="13"/>
  <c r="M67" i="13"/>
  <c r="L67" i="13"/>
  <c r="K67" i="13"/>
  <c r="R67" i="13" s="1"/>
  <c r="J67" i="13"/>
  <c r="Q67" i="13" s="1"/>
  <c r="I67" i="13"/>
  <c r="H67" i="13"/>
  <c r="D67" i="13"/>
  <c r="D83" i="13" s="1"/>
  <c r="S63" i="13"/>
  <c r="P63" i="13"/>
  <c r="O63" i="13"/>
  <c r="M63" i="13"/>
  <c r="L63" i="13"/>
  <c r="K63" i="13"/>
  <c r="J63" i="13"/>
  <c r="I63" i="13"/>
  <c r="H63" i="13"/>
  <c r="N63" i="13" s="1"/>
  <c r="C63" i="13"/>
  <c r="N55" i="13"/>
  <c r="M55" i="13"/>
  <c r="L55" i="13"/>
  <c r="K55" i="13"/>
  <c r="J55" i="13"/>
  <c r="I55" i="13"/>
  <c r="H55" i="13"/>
  <c r="G54" i="13"/>
  <c r="G55" i="13" s="1"/>
  <c r="G53" i="13"/>
  <c r="N52" i="13"/>
  <c r="M52" i="13"/>
  <c r="L52" i="13"/>
  <c r="S52" i="13" s="1"/>
  <c r="K52" i="13"/>
  <c r="J52" i="13"/>
  <c r="I52" i="13"/>
  <c r="H52" i="13"/>
  <c r="F52" i="13"/>
  <c r="F56" i="13" s="1"/>
  <c r="S49" i="13"/>
  <c r="M49" i="13"/>
  <c r="L49" i="13"/>
  <c r="K49" i="13"/>
  <c r="R49" i="13" s="1"/>
  <c r="J49" i="13"/>
  <c r="N49" i="13" s="1"/>
  <c r="I49" i="13"/>
  <c r="H49" i="13"/>
  <c r="E49" i="13"/>
  <c r="Q49" i="13" s="1"/>
  <c r="R46" i="13"/>
  <c r="M46" i="13"/>
  <c r="S46" i="13" s="1"/>
  <c r="L46" i="13"/>
  <c r="K46" i="13"/>
  <c r="J46" i="13"/>
  <c r="Q46" i="13" s="1"/>
  <c r="I46" i="13"/>
  <c r="N46" i="13" s="1"/>
  <c r="H46" i="13"/>
  <c r="D46" i="13"/>
  <c r="D56" i="13" s="1"/>
  <c r="S43" i="13"/>
  <c r="R43" i="13"/>
  <c r="N43" i="13"/>
  <c r="M43" i="13"/>
  <c r="L43" i="13"/>
  <c r="K43" i="13"/>
  <c r="J43" i="13"/>
  <c r="I43" i="13"/>
  <c r="H43" i="13"/>
  <c r="C43" i="13"/>
  <c r="C56" i="13" s="1"/>
  <c r="M38" i="13"/>
  <c r="N38" i="13" s="1"/>
  <c r="L38" i="13"/>
  <c r="K38" i="13"/>
  <c r="J38" i="13"/>
  <c r="I38" i="13"/>
  <c r="H38" i="13"/>
  <c r="G38" i="13"/>
  <c r="G39" i="13" s="1"/>
  <c r="M31" i="13"/>
  <c r="L31" i="13"/>
  <c r="S31" i="13" s="1"/>
  <c r="K31" i="13"/>
  <c r="N31" i="13" s="1"/>
  <c r="J31" i="13"/>
  <c r="I31" i="13"/>
  <c r="H31" i="13"/>
  <c r="F31" i="13"/>
  <c r="F39" i="13" s="1"/>
  <c r="M24" i="13"/>
  <c r="L24" i="13"/>
  <c r="S24" i="13" s="1"/>
  <c r="K24" i="13"/>
  <c r="R24" i="13" s="1"/>
  <c r="J24" i="13"/>
  <c r="N24" i="13" s="1"/>
  <c r="I24" i="13"/>
  <c r="H24" i="13"/>
  <c r="E24" i="13"/>
  <c r="E39" i="13" s="1"/>
  <c r="S17" i="13"/>
  <c r="M17" i="13"/>
  <c r="L17" i="13"/>
  <c r="K17" i="13"/>
  <c r="R17" i="13" s="1"/>
  <c r="J17" i="13"/>
  <c r="Q17" i="13" s="1"/>
  <c r="I17" i="13"/>
  <c r="H17" i="13"/>
  <c r="D17" i="13"/>
  <c r="D39" i="13" s="1"/>
  <c r="S10" i="13"/>
  <c r="P10" i="13"/>
  <c r="O10" i="13"/>
  <c r="M10" i="13"/>
  <c r="L10" i="13"/>
  <c r="K10" i="13"/>
  <c r="J10" i="13"/>
  <c r="I10" i="13"/>
  <c r="H10" i="13"/>
  <c r="N10" i="13" s="1"/>
  <c r="C10" i="13"/>
  <c r="C39" i="13" s="1"/>
  <c r="Q88" i="13" l="1"/>
  <c r="S88" i="13"/>
  <c r="C83" i="13"/>
  <c r="R31" i="13"/>
  <c r="E56" i="13"/>
  <c r="S87" i="13"/>
  <c r="N17" i="13"/>
  <c r="N67" i="13"/>
  <c r="S80" i="13"/>
  <c r="S84" i="13" s="1"/>
  <c r="G83" i="13"/>
  <c r="P17" i="13"/>
  <c r="R88" i="13"/>
  <c r="R89" i="13"/>
  <c r="Q43" i="13"/>
  <c r="P43" i="13"/>
  <c r="P87" i="13" s="1"/>
  <c r="G56" i="13"/>
  <c r="S55" i="13"/>
  <c r="R10" i="13"/>
  <c r="Q10" i="13"/>
  <c r="S89" i="13"/>
  <c r="S90" i="13"/>
  <c r="R63" i="13"/>
  <c r="Q63" i="13"/>
  <c r="R74" i="13"/>
  <c r="Q24" i="13"/>
  <c r="O43" i="13"/>
  <c r="R52" i="13"/>
  <c r="P67" i="13"/>
  <c r="Q70" i="13"/>
  <c r="S38" i="13"/>
  <c r="P46" i="13"/>
  <c r="S83" i="13" l="1"/>
  <c r="R90" i="13"/>
  <c r="S39" i="13"/>
  <c r="S91" i="13"/>
  <c r="S92" i="13" s="1"/>
  <c r="S56" i="13"/>
  <c r="Q87" i="13"/>
  <c r="Q84" i="13"/>
  <c r="Q89" i="13"/>
  <c r="R84" i="13"/>
  <c r="R87" i="13"/>
  <c r="R92" i="13" s="1"/>
  <c r="O87" i="13"/>
  <c r="O92" i="13" s="1"/>
  <c r="P88" i="13"/>
  <c r="P92" i="13" s="1"/>
  <c r="P84" i="13"/>
  <c r="O84" i="13"/>
  <c r="S85" i="13" l="1"/>
  <c r="Q92" i="13"/>
  <c r="S94" i="13"/>
</calcChain>
</file>

<file path=xl/comments1.xml><?xml version="1.0" encoding="utf-8"?>
<comments xmlns="http://schemas.openxmlformats.org/spreadsheetml/2006/main">
  <authors>
    <author>Pauline Welsh</author>
  </authors>
  <commentList>
    <comment ref="A59" authorId="0" shapeId="0">
      <text>
        <r>
          <rPr>
            <b/>
            <sz val="9"/>
            <color indexed="81"/>
            <rFont val="Tahoma"/>
            <family val="2"/>
          </rPr>
          <t>Pauline Welsh:</t>
        </r>
        <r>
          <rPr>
            <sz val="9"/>
            <color indexed="81"/>
            <rFont val="Tahoma"/>
            <family val="2"/>
          </rPr>
          <t xml:space="preserve">
one year only, no persistence</t>
        </r>
      </text>
    </comment>
  </commentList>
</comments>
</file>

<file path=xl/sharedStrings.xml><?xml version="1.0" encoding="utf-8"?>
<sst xmlns="http://schemas.openxmlformats.org/spreadsheetml/2006/main" count="164" uniqueCount="53">
  <si>
    <t>Residential</t>
  </si>
  <si>
    <t>General Service Less Than 50 kW</t>
  </si>
  <si>
    <t>General Service 50 to 4,999 kW</t>
  </si>
  <si>
    <t>Unit</t>
  </si>
  <si>
    <t>kWh</t>
  </si>
  <si>
    <t>kW</t>
  </si>
  <si>
    <t>Total LRAMVA Claim</t>
  </si>
  <si>
    <t>Program</t>
  </si>
  <si>
    <t>Appliance Retirement</t>
  </si>
  <si>
    <t>Appliance Exchange</t>
  </si>
  <si>
    <t>HVAC Incentives</t>
  </si>
  <si>
    <t>Conservation Instant Coupon Booklet</t>
  </si>
  <si>
    <t>Bi-Annual Retailer Event</t>
  </si>
  <si>
    <t>Retrofit</t>
  </si>
  <si>
    <t>Direct Install Lighting</t>
  </si>
  <si>
    <t>Demand Response 3</t>
  </si>
  <si>
    <t>Electricity Retrofit Incentive Program</t>
  </si>
  <si>
    <t>High Performance New Construction</t>
  </si>
  <si>
    <t>Program Enabled Savings</t>
  </si>
  <si>
    <t>Standby Power Revenues</t>
  </si>
  <si>
    <t>2010 Rate (effective May 1)</t>
  </si>
  <si>
    <t>2011 Rate (effective May 1)</t>
  </si>
  <si>
    <t>2012 Rate (effective May 1)</t>
  </si>
  <si>
    <t>2013 Rate (effective May 1)</t>
  </si>
  <si>
    <t>2014 Rate (effective May 1)</t>
  </si>
  <si>
    <t>2011 LRAMVA</t>
  </si>
  <si>
    <t>2012 LRAMVA</t>
  </si>
  <si>
    <t>2013 LRAMVA</t>
  </si>
  <si>
    <t>2014 LRAMVA</t>
  </si>
  <si>
    <t>2011 CDM Savings</t>
  </si>
  <si>
    <t>Weighted Average Rate</t>
  </si>
  <si>
    <t>2012 CDM Savings</t>
  </si>
  <si>
    <t>Subtotal 2011 CDM Savings</t>
  </si>
  <si>
    <t>2013 CDM Savings</t>
  </si>
  <si>
    <t>2014 CDM Savings</t>
  </si>
  <si>
    <t>Subtotal 2012 CDM Savings</t>
  </si>
  <si>
    <t>Home Assistance Program</t>
  </si>
  <si>
    <t>Subtotal 2013 CDM Savings</t>
  </si>
  <si>
    <t xml:space="preserve"> </t>
  </si>
  <si>
    <t>Subtotal 2014 CDM Savings</t>
  </si>
  <si>
    <t>Subtotal CDM Savings Offset</t>
  </si>
  <si>
    <t>Energy Audit</t>
  </si>
  <si>
    <t>Annual LRAMVA Claim</t>
  </si>
  <si>
    <t>Subtotal Residential LRAMVA</t>
  </si>
  <si>
    <t>Subtotal GS&lt;50 kW LRAMVA</t>
  </si>
  <si>
    <t>Subtotal GS 50-4,999 kW LRAMVA</t>
  </si>
  <si>
    <t>LRAMVA SUMMARY</t>
  </si>
  <si>
    <t>2015 CDM Savings</t>
  </si>
  <si>
    <t>2015 Rate (effective May 1)</t>
  </si>
  <si>
    <t>2015 LRAMVA</t>
  </si>
  <si>
    <t>Subtotal 2015 CDM Savings</t>
  </si>
  <si>
    <t>Process &amp; Systems</t>
  </si>
  <si>
    <t>Table 2: Lost Revenues for each year by Rate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</si>
</sst>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6" formatCode="#,##0.0000"/>
  </numFmts>
  <fonts count="11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206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Border="0" applyAlignment="0"/>
  </cellStyleXfs>
  <cellXfs count="40">
    <xf numFmtId="0" fontId="0" fillId="0" borderId="0" xfId="0"/>
    <xf numFmtId="0" fontId="0" fillId="0" borderId="0" xfId="0" applyFont="1" applyProtection="1"/>
    <xf numFmtId="0" fontId="2" fillId="2" borderId="3" xfId="0" applyFont="1" applyFill="1" applyBorder="1" applyAlignment="1" applyProtection="1">
      <alignment horizontal="center" wrapText="1"/>
    </xf>
    <xf numFmtId="0" fontId="4" fillId="0" borderId="3" xfId="0" applyFont="1" applyBorder="1" applyAlignment="1">
      <alignment vertical="center" wrapText="1"/>
    </xf>
    <xf numFmtId="0" fontId="2" fillId="2" borderId="3" xfId="0" applyFont="1" applyFill="1" applyBorder="1" applyAlignment="1" applyProtection="1">
      <alignment horizontal="left" wrapText="1"/>
    </xf>
    <xf numFmtId="42" fontId="3" fillId="0" borderId="3" xfId="0" applyNumberFormat="1" applyFont="1" applyBorder="1" applyAlignment="1" applyProtection="1">
      <alignment horizontal="right" vertical="center"/>
    </xf>
    <xf numFmtId="42" fontId="4" fillId="0" borderId="3" xfId="0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horizontal="left" vertical="center" wrapText="1" inden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 applyProtection="1">
      <alignment horizontal="right" vertical="center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166" fontId="3" fillId="0" borderId="3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0" fillId="3" borderId="0" xfId="0" applyFill="1"/>
    <xf numFmtId="3" fontId="3" fillId="3" borderId="3" xfId="0" applyNumberFormat="1" applyFont="1" applyFill="1" applyBorder="1" applyAlignment="1" applyProtection="1">
      <alignment horizontal="right" vertical="center"/>
    </xf>
    <xf numFmtId="0" fontId="3" fillId="3" borderId="3" xfId="0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Protection="1"/>
    <xf numFmtId="0" fontId="6" fillId="0" borderId="0" xfId="0" applyFont="1"/>
    <xf numFmtId="42" fontId="3" fillId="0" borderId="3" xfId="0" applyNumberFormat="1" applyFont="1" applyBorder="1" applyAlignment="1">
      <alignment horizontal="right" vertical="center" wrapText="1"/>
    </xf>
    <xf numFmtId="42" fontId="4" fillId="0" borderId="3" xfId="0" applyNumberFormat="1" applyFont="1" applyBorder="1" applyAlignment="1">
      <alignment horizontal="right" vertical="center" wrapText="1"/>
    </xf>
    <xf numFmtId="42" fontId="4" fillId="2" borderId="3" xfId="0" applyNumberFormat="1" applyFont="1" applyFill="1" applyBorder="1" applyAlignment="1" applyProtection="1">
      <alignment horizontal="right" vertical="center"/>
    </xf>
    <xf numFmtId="42" fontId="3" fillId="3" borderId="3" xfId="0" applyNumberFormat="1" applyFont="1" applyFill="1" applyBorder="1" applyAlignment="1" applyProtection="1">
      <alignment horizontal="right" vertical="center"/>
    </xf>
    <xf numFmtId="42" fontId="0" fillId="0" borderId="0" xfId="0" applyNumberFormat="1"/>
    <xf numFmtId="42" fontId="6" fillId="0" borderId="1" xfId="0" applyNumberFormat="1" applyFont="1" applyBorder="1"/>
    <xf numFmtId="42" fontId="6" fillId="0" borderId="4" xfId="0" applyNumberFormat="1" applyFont="1" applyBorder="1"/>
    <xf numFmtId="0" fontId="3" fillId="4" borderId="3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right" vertical="center" wrapText="1" indent="1"/>
    </xf>
    <xf numFmtId="3" fontId="3" fillId="4" borderId="3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42" fontId="8" fillId="0" borderId="0" xfId="0" applyNumberFormat="1" applyFont="1"/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5">
    <cellStyle name="Currency 2" xfId="2"/>
    <cellStyle name="Normal" xfId="0" builtinId="0"/>
    <cellStyle name="Normal 2" xfId="1"/>
    <cellStyle name="Percent 2" xfId="3"/>
    <cellStyle name="STYLE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W96"/>
  <sheetViews>
    <sheetView tabSelected="1" zoomScaleNormal="100" workbookViewId="0">
      <selection activeCell="A24" sqref="A24"/>
    </sheetView>
  </sheetViews>
  <sheetFormatPr defaultRowHeight="12.75" outlineLevelRow="1" x14ac:dyDescent="0.2"/>
  <cols>
    <col min="1" max="1" width="33.7109375" customWidth="1"/>
    <col min="2" max="2" width="6.42578125" customWidth="1"/>
    <col min="3" max="7" width="12.7109375" customWidth="1"/>
    <col min="8" max="14" width="10.7109375" customWidth="1"/>
    <col min="15" max="19" width="12.7109375" customWidth="1"/>
    <col min="20" max="20" width="8.7109375" customWidth="1"/>
  </cols>
  <sheetData>
    <row r="1" spans="1:23" ht="15" x14ac:dyDescent="0.2">
      <c r="A1" s="39" t="s">
        <v>46</v>
      </c>
      <c r="B1" s="39"/>
      <c r="C1" s="39"/>
      <c r="D1" s="39"/>
      <c r="E1" s="39"/>
      <c r="F1" s="39"/>
      <c r="G1" s="39"/>
      <c r="H1" s="39"/>
    </row>
    <row r="2" spans="1:23" ht="19.5" customHeight="1" x14ac:dyDescent="0.2">
      <c r="A2" s="38" t="s">
        <v>52</v>
      </c>
      <c r="B2" s="38"/>
      <c r="C2" s="38"/>
      <c r="D2" s="38"/>
      <c r="E2" s="38"/>
      <c r="F2" s="38"/>
      <c r="G2" s="38"/>
      <c r="H2" s="38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3" ht="42.75" customHeight="1" x14ac:dyDescent="0.2">
      <c r="A3" s="4" t="s">
        <v>7</v>
      </c>
      <c r="B3" s="2" t="s">
        <v>3</v>
      </c>
      <c r="C3" s="2" t="s">
        <v>29</v>
      </c>
      <c r="D3" s="2" t="s">
        <v>31</v>
      </c>
      <c r="E3" s="2" t="s">
        <v>33</v>
      </c>
      <c r="F3" s="2" t="s">
        <v>34</v>
      </c>
      <c r="G3" s="2" t="s">
        <v>47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48</v>
      </c>
      <c r="N3" s="2" t="s">
        <v>30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49</v>
      </c>
      <c r="U3" s="1"/>
      <c r="W3" s="1"/>
    </row>
    <row r="4" spans="1:23" ht="18.75" customHeight="1" outlineLevel="1" x14ac:dyDescent="0.2">
      <c r="A4" s="15" t="s">
        <v>0</v>
      </c>
      <c r="B4" s="15"/>
      <c r="C4" s="15"/>
      <c r="D4" s="16"/>
      <c r="E4" s="17"/>
      <c r="F4" s="16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U4" s="1"/>
      <c r="W4" s="1"/>
    </row>
    <row r="5" spans="1:23" ht="18.75" customHeight="1" outlineLevel="1" x14ac:dyDescent="0.2">
      <c r="A5" s="7" t="s">
        <v>8</v>
      </c>
      <c r="B5" s="12" t="s">
        <v>4</v>
      </c>
      <c r="C5" s="8">
        <v>88387.790108494184</v>
      </c>
      <c r="D5" s="8"/>
      <c r="E5" s="9"/>
      <c r="F5" s="8"/>
      <c r="G5" s="8"/>
      <c r="H5" s="14"/>
      <c r="I5" s="14"/>
      <c r="J5" s="14"/>
      <c r="K5" s="14"/>
      <c r="L5" s="14"/>
      <c r="M5" s="14"/>
      <c r="N5" s="14"/>
      <c r="O5" s="25"/>
      <c r="P5" s="5"/>
      <c r="Q5" s="5"/>
      <c r="R5" s="5"/>
      <c r="S5" s="5"/>
      <c r="U5" s="1"/>
      <c r="W5" s="1"/>
    </row>
    <row r="6" spans="1:23" ht="18.75" customHeight="1" outlineLevel="1" x14ac:dyDescent="0.2">
      <c r="A6" s="7" t="s">
        <v>9</v>
      </c>
      <c r="B6" s="12" t="s">
        <v>4</v>
      </c>
      <c r="C6" s="8">
        <v>858.74365303585114</v>
      </c>
      <c r="D6" s="8"/>
      <c r="E6" s="9"/>
      <c r="F6" s="8"/>
      <c r="G6" s="8"/>
      <c r="H6" s="14"/>
      <c r="I6" s="14"/>
      <c r="J6" s="14"/>
      <c r="K6" s="14"/>
      <c r="L6" s="14"/>
      <c r="M6" s="14"/>
      <c r="N6" s="14"/>
      <c r="O6" s="25"/>
      <c r="P6" s="5"/>
      <c r="Q6" s="5"/>
      <c r="R6" s="5"/>
      <c r="S6" s="5"/>
      <c r="U6" s="1"/>
      <c r="W6" s="1"/>
    </row>
    <row r="7" spans="1:23" ht="18.75" customHeight="1" outlineLevel="1" x14ac:dyDescent="0.2">
      <c r="A7" s="7" t="s">
        <v>10</v>
      </c>
      <c r="B7" s="12" t="s">
        <v>4</v>
      </c>
      <c r="C7" s="8">
        <v>91775.873104405444</v>
      </c>
      <c r="D7" s="8"/>
      <c r="E7" s="9"/>
      <c r="F7" s="8"/>
      <c r="G7" s="8"/>
      <c r="H7" s="14"/>
      <c r="I7" s="14"/>
      <c r="J7" s="14"/>
      <c r="K7" s="14"/>
      <c r="L7" s="14"/>
      <c r="M7" s="14"/>
      <c r="N7" s="14"/>
      <c r="O7" s="25"/>
      <c r="P7" s="5"/>
      <c r="Q7" s="5"/>
      <c r="R7" s="5"/>
      <c r="S7" s="5"/>
      <c r="U7" s="1"/>
      <c r="W7" s="1"/>
    </row>
    <row r="8" spans="1:23" ht="18.75" customHeight="1" outlineLevel="1" x14ac:dyDescent="0.2">
      <c r="A8" s="7" t="s">
        <v>11</v>
      </c>
      <c r="B8" s="12" t="s">
        <v>4</v>
      </c>
      <c r="C8" s="8">
        <v>51434.24841518316</v>
      </c>
      <c r="D8" s="8"/>
      <c r="E8" s="9"/>
      <c r="F8" s="8"/>
      <c r="G8" s="8"/>
      <c r="H8" s="14"/>
      <c r="I8" s="14"/>
      <c r="J8" s="14"/>
      <c r="K8" s="14"/>
      <c r="L8" s="14"/>
      <c r="M8" s="14"/>
      <c r="N8" s="14"/>
      <c r="O8" s="25"/>
      <c r="P8" s="5"/>
      <c r="Q8" s="5"/>
      <c r="R8" s="5"/>
      <c r="S8" s="5"/>
      <c r="U8" s="1"/>
      <c r="W8" s="1"/>
    </row>
    <row r="9" spans="1:23" ht="18.75" customHeight="1" outlineLevel="1" x14ac:dyDescent="0.2">
      <c r="A9" s="7" t="s">
        <v>12</v>
      </c>
      <c r="B9" s="12" t="s">
        <v>4</v>
      </c>
      <c r="C9" s="8">
        <v>85946.512018197798</v>
      </c>
      <c r="D9" s="8"/>
      <c r="E9" s="9"/>
      <c r="F9" s="8"/>
      <c r="G9" s="8"/>
      <c r="H9" s="14"/>
      <c r="I9" s="14"/>
      <c r="J9" s="14"/>
      <c r="K9" s="14"/>
      <c r="L9" s="14"/>
      <c r="M9" s="14"/>
      <c r="N9" s="14"/>
      <c r="O9" s="25"/>
      <c r="P9" s="5"/>
      <c r="Q9" s="5"/>
      <c r="R9" s="5"/>
      <c r="S9" s="5"/>
      <c r="U9" s="1"/>
      <c r="W9" s="1"/>
    </row>
    <row r="10" spans="1:23" ht="18.75" customHeight="1" outlineLevel="1" x14ac:dyDescent="0.2">
      <c r="A10" s="3" t="s">
        <v>32</v>
      </c>
      <c r="B10" s="3"/>
      <c r="C10" s="10">
        <f>SUM(C5:C9)</f>
        <v>318403.16729931644</v>
      </c>
      <c r="D10" s="10">
        <v>318402.74</v>
      </c>
      <c r="E10" s="10">
        <v>318402.74</v>
      </c>
      <c r="F10" s="10">
        <v>317761.56</v>
      </c>
      <c r="G10" s="10">
        <v>283545.73</v>
      </c>
      <c r="H10" s="14">
        <f>0.0162</f>
        <v>1.6199999999999999E-2</v>
      </c>
      <c r="I10" s="14">
        <f>0.0162-0.0001</f>
        <v>1.61E-2</v>
      </c>
      <c r="J10" s="14">
        <f>0.0163-0.0002</f>
        <v>1.61E-2</v>
      </c>
      <c r="K10" s="14">
        <f>0.0163-0.0002</f>
        <v>1.61E-2</v>
      </c>
      <c r="L10" s="14">
        <f>0.0165-0.0002</f>
        <v>1.6300000000000002E-2</v>
      </c>
      <c r="M10" s="14">
        <f>0.0167-0.0002</f>
        <v>1.6500000000000001E-2</v>
      </c>
      <c r="N10" s="14">
        <f>ROUND((H10*4+I10*8)/12,4)</f>
        <v>1.61E-2</v>
      </c>
      <c r="O10" s="26">
        <f>C10*ROUND((H10*4+I10*8)/12,4)</f>
        <v>5126.2909935189946</v>
      </c>
      <c r="P10" s="26">
        <f>D10*ROUND((I10*4+J10*8)/12,4)</f>
        <v>5126.284114</v>
      </c>
      <c r="Q10" s="26">
        <f>E10*ROUND((J10*4+K10*8)/12,4)</f>
        <v>5126.284114</v>
      </c>
      <c r="R10" s="26">
        <f>F10*ROUND((K10*4+L10*8)/12,4)</f>
        <v>5147.7372719999994</v>
      </c>
      <c r="S10" s="26">
        <f>G10*ROUND((L10*4+M10*8)/12,4)</f>
        <v>4650.1499720000002</v>
      </c>
      <c r="U10" s="1"/>
      <c r="W10" s="1"/>
    </row>
    <row r="11" spans="1:23" ht="18.75" customHeight="1" outlineLevel="1" x14ac:dyDescent="0.2">
      <c r="A11" s="7" t="s">
        <v>8</v>
      </c>
      <c r="B11" s="12" t="s">
        <v>4</v>
      </c>
      <c r="C11" s="8"/>
      <c r="D11" s="8">
        <v>40097.406000000003</v>
      </c>
      <c r="E11" s="9"/>
      <c r="F11" s="8"/>
      <c r="G11" s="8"/>
      <c r="H11" s="14"/>
      <c r="I11" s="14"/>
      <c r="J11" s="14"/>
      <c r="K11" s="14"/>
      <c r="L11" s="14"/>
      <c r="M11" s="14"/>
      <c r="N11" s="14"/>
      <c r="O11" s="25"/>
      <c r="P11" s="5"/>
      <c r="Q11" s="5"/>
      <c r="R11" s="5"/>
      <c r="S11" s="5"/>
      <c r="U11" s="1"/>
      <c r="W11" s="1"/>
    </row>
    <row r="12" spans="1:23" ht="18.75" customHeight="1" outlineLevel="1" x14ac:dyDescent="0.2">
      <c r="A12" s="7" t="s">
        <v>9</v>
      </c>
      <c r="B12" s="12" t="s">
        <v>4</v>
      </c>
      <c r="C12" s="8"/>
      <c r="D12" s="8">
        <v>2647.681</v>
      </c>
      <c r="E12" s="9"/>
      <c r="F12" s="8"/>
      <c r="G12" s="8"/>
      <c r="H12" s="14"/>
      <c r="I12" s="14"/>
      <c r="J12" s="14"/>
      <c r="K12" s="14"/>
      <c r="L12" s="14"/>
      <c r="M12" s="14"/>
      <c r="N12" s="14"/>
      <c r="O12" s="25"/>
      <c r="P12" s="5"/>
      <c r="Q12" s="5"/>
      <c r="R12" s="5"/>
      <c r="S12" s="5"/>
      <c r="U12" s="1"/>
      <c r="W12" s="1"/>
    </row>
    <row r="13" spans="1:23" ht="18.75" customHeight="1" outlineLevel="1" x14ac:dyDescent="0.2">
      <c r="A13" s="7" t="s">
        <v>10</v>
      </c>
      <c r="B13" s="12" t="s">
        <v>4</v>
      </c>
      <c r="C13" s="8"/>
      <c r="D13" s="8">
        <v>68671.91</v>
      </c>
      <c r="E13" s="9"/>
      <c r="F13" s="8"/>
      <c r="G13" s="8"/>
      <c r="H13" s="14"/>
      <c r="I13" s="14"/>
      <c r="J13" s="14"/>
      <c r="K13" s="14"/>
      <c r="L13" s="14"/>
      <c r="M13" s="14"/>
      <c r="N13" s="14"/>
      <c r="O13" s="25"/>
      <c r="P13" s="5"/>
      <c r="Q13" s="5"/>
      <c r="R13" s="5"/>
      <c r="S13" s="5"/>
      <c r="U13" s="1"/>
      <c r="W13" s="1"/>
    </row>
    <row r="14" spans="1:23" ht="18.75" customHeight="1" outlineLevel="1" x14ac:dyDescent="0.2">
      <c r="A14" s="7" t="s">
        <v>11</v>
      </c>
      <c r="B14" s="12" t="s">
        <v>4</v>
      </c>
      <c r="C14" s="8"/>
      <c r="D14" s="8">
        <v>3806.3760000000002</v>
      </c>
      <c r="E14" s="9"/>
      <c r="F14" s="8"/>
      <c r="G14" s="8"/>
      <c r="H14" s="14"/>
      <c r="I14" s="14"/>
      <c r="J14" s="14"/>
      <c r="K14" s="14"/>
      <c r="L14" s="14"/>
      <c r="M14" s="14"/>
      <c r="N14" s="14"/>
      <c r="O14" s="25"/>
      <c r="P14" s="5"/>
      <c r="Q14" s="5"/>
      <c r="R14" s="5"/>
      <c r="S14" s="5"/>
      <c r="U14" s="1"/>
      <c r="W14" s="1"/>
    </row>
    <row r="15" spans="1:23" ht="18.75" customHeight="1" outlineLevel="1" x14ac:dyDescent="0.2">
      <c r="A15" s="7" t="s">
        <v>12</v>
      </c>
      <c r="B15" s="12" t="s">
        <v>4</v>
      </c>
      <c r="C15" s="8"/>
      <c r="D15" s="8">
        <v>72908.737999999998</v>
      </c>
      <c r="E15" s="9"/>
      <c r="F15" s="8"/>
      <c r="G15" s="8"/>
      <c r="H15" s="14"/>
      <c r="I15" s="14"/>
      <c r="J15" s="14"/>
      <c r="K15" s="14"/>
      <c r="L15" s="14"/>
      <c r="M15" s="14"/>
      <c r="N15" s="14"/>
      <c r="O15" s="25"/>
      <c r="P15" s="5"/>
      <c r="Q15" s="5"/>
      <c r="R15" s="5"/>
      <c r="S15" s="5"/>
      <c r="U15" s="1"/>
      <c r="W15" s="1"/>
    </row>
    <row r="16" spans="1:23" ht="18.75" customHeight="1" outlineLevel="1" x14ac:dyDescent="0.2">
      <c r="A16" s="7" t="s">
        <v>36</v>
      </c>
      <c r="B16" s="12" t="s">
        <v>4</v>
      </c>
      <c r="C16" s="8"/>
      <c r="D16" s="8">
        <v>64439.053999999996</v>
      </c>
      <c r="E16" s="9"/>
      <c r="F16" s="8"/>
      <c r="G16" s="8"/>
      <c r="H16" s="14"/>
      <c r="I16" s="14"/>
      <c r="J16" s="14"/>
      <c r="K16" s="14"/>
      <c r="L16" s="14"/>
      <c r="M16" s="14"/>
      <c r="N16" s="14"/>
      <c r="O16" s="25"/>
      <c r="P16" s="5"/>
      <c r="Q16" s="5"/>
      <c r="R16" s="5"/>
      <c r="S16" s="5"/>
      <c r="U16" s="1"/>
      <c r="W16" s="1"/>
    </row>
    <row r="17" spans="1:23" ht="18.75" customHeight="1" outlineLevel="1" x14ac:dyDescent="0.2">
      <c r="A17" s="3" t="s">
        <v>35</v>
      </c>
      <c r="B17" s="3"/>
      <c r="C17" s="10"/>
      <c r="D17" s="10">
        <f>SUM(D11:D16)</f>
        <v>252571.16500000001</v>
      </c>
      <c r="E17" s="10">
        <v>250547.17</v>
      </c>
      <c r="F17" s="10">
        <v>250485.56</v>
      </c>
      <c r="G17" s="10">
        <v>250474.79</v>
      </c>
      <c r="H17" s="14">
        <f>0.0162</f>
        <v>1.6199999999999999E-2</v>
      </c>
      <c r="I17" s="14">
        <f>0.0162-0.0001</f>
        <v>1.61E-2</v>
      </c>
      <c r="J17" s="14">
        <f>0.0163-0.0002</f>
        <v>1.61E-2</v>
      </c>
      <c r="K17" s="14">
        <f>0.0163-0.0002</f>
        <v>1.61E-2</v>
      </c>
      <c r="L17" s="14">
        <f>0.0165-0.0002</f>
        <v>1.6300000000000002E-2</v>
      </c>
      <c r="M17" s="14">
        <f>0.0167-0.0002</f>
        <v>1.6500000000000001E-2</v>
      </c>
      <c r="N17" s="14">
        <f>ROUND((I17*4+J17*8)/12,4)</f>
        <v>1.61E-2</v>
      </c>
      <c r="O17" s="26"/>
      <c r="P17" s="26">
        <f>D17*ROUND((I17*4+J17*8)/12,4)</f>
        <v>4066.3957565000001</v>
      </c>
      <c r="Q17" s="26">
        <f>E17*ROUND((J17*4+K17*8)/12,4)</f>
        <v>4033.8094370000003</v>
      </c>
      <c r="R17" s="26">
        <f>F17*ROUND((K17*4+L17*8)/12,4)</f>
        <v>4057.8660719999998</v>
      </c>
      <c r="S17" s="26">
        <f>G17*ROUND((L17*4+M17*8)/12,4)</f>
        <v>4107.7865560000009</v>
      </c>
      <c r="U17" s="1"/>
      <c r="W17" s="1"/>
    </row>
    <row r="18" spans="1:23" ht="18.75" customHeight="1" outlineLevel="1" x14ac:dyDescent="0.2">
      <c r="A18" s="7" t="s">
        <v>8</v>
      </c>
      <c r="B18" s="12" t="s">
        <v>4</v>
      </c>
      <c r="C18" s="8"/>
      <c r="D18" s="8"/>
      <c r="E18" s="9">
        <v>22947.072</v>
      </c>
      <c r="F18" s="8"/>
      <c r="G18" s="8"/>
      <c r="H18" s="14"/>
      <c r="I18" s="14"/>
      <c r="J18" s="14"/>
      <c r="K18" s="14"/>
      <c r="L18" s="14"/>
      <c r="M18" s="14"/>
      <c r="N18" s="14"/>
      <c r="O18" s="25"/>
      <c r="P18" s="5"/>
      <c r="Q18" s="5"/>
      <c r="R18" s="5"/>
      <c r="S18" s="5"/>
      <c r="U18" s="1"/>
      <c r="W18" s="1"/>
    </row>
    <row r="19" spans="1:23" ht="18.75" customHeight="1" outlineLevel="1" x14ac:dyDescent="0.2">
      <c r="A19" s="7" t="s">
        <v>9</v>
      </c>
      <c r="B19" s="12" t="s">
        <v>4</v>
      </c>
      <c r="C19" s="8"/>
      <c r="D19" s="8"/>
      <c r="E19" s="9">
        <v>5911.0379999999996</v>
      </c>
      <c r="F19" s="8"/>
      <c r="G19" s="8"/>
      <c r="H19" s="14"/>
      <c r="I19" s="14"/>
      <c r="J19" s="14"/>
      <c r="K19" s="14"/>
      <c r="L19" s="14"/>
      <c r="M19" s="14"/>
      <c r="N19" s="14"/>
      <c r="O19" s="25"/>
      <c r="P19" s="5"/>
      <c r="Q19" s="5"/>
      <c r="R19" s="5"/>
      <c r="S19" s="5"/>
      <c r="U19" s="1"/>
      <c r="W19" s="1"/>
    </row>
    <row r="20" spans="1:23" ht="18.75" customHeight="1" outlineLevel="1" x14ac:dyDescent="0.2">
      <c r="A20" s="7" t="s">
        <v>10</v>
      </c>
      <c r="B20" s="12" t="s">
        <v>4</v>
      </c>
      <c r="C20" s="8"/>
      <c r="D20" s="8"/>
      <c r="E20" s="9">
        <v>64864.521739399999</v>
      </c>
      <c r="F20" s="8"/>
      <c r="G20" s="8"/>
      <c r="H20" s="14"/>
      <c r="I20" s="14"/>
      <c r="J20" s="14"/>
      <c r="K20" s="14"/>
      <c r="L20" s="14"/>
      <c r="M20" s="14"/>
      <c r="N20" s="14"/>
      <c r="O20" s="25"/>
      <c r="P20" s="5"/>
      <c r="Q20" s="5"/>
      <c r="R20" s="5"/>
      <c r="S20" s="5"/>
      <c r="U20" s="1"/>
      <c r="W20" s="1"/>
    </row>
    <row r="21" spans="1:23" ht="18.75" customHeight="1" outlineLevel="1" x14ac:dyDescent="0.2">
      <c r="A21" s="7" t="s">
        <v>11</v>
      </c>
      <c r="B21" s="12" t="s">
        <v>4</v>
      </c>
      <c r="C21" s="8"/>
      <c r="D21" s="8"/>
      <c r="E21" s="9">
        <v>21046.609</v>
      </c>
      <c r="F21" s="8"/>
      <c r="G21" s="8"/>
      <c r="H21" s="14"/>
      <c r="I21" s="14"/>
      <c r="J21" s="14"/>
      <c r="K21" s="14"/>
      <c r="L21" s="14"/>
      <c r="M21" s="14"/>
      <c r="N21" s="14"/>
      <c r="O21" s="25"/>
      <c r="P21" s="5"/>
      <c r="Q21" s="5"/>
      <c r="R21" s="5"/>
      <c r="S21" s="5"/>
      <c r="U21" s="1"/>
      <c r="W21" s="1"/>
    </row>
    <row r="22" spans="1:23" ht="18.75" customHeight="1" outlineLevel="1" x14ac:dyDescent="0.2">
      <c r="A22" s="7" t="s">
        <v>12</v>
      </c>
      <c r="B22" s="12" t="s">
        <v>4</v>
      </c>
      <c r="C22" s="8"/>
      <c r="D22" s="8"/>
      <c r="E22" s="9">
        <v>46769.313000000002</v>
      </c>
      <c r="F22" s="8"/>
      <c r="G22" s="8"/>
      <c r="H22" s="14"/>
      <c r="I22" s="14"/>
      <c r="J22" s="14"/>
      <c r="K22" s="14"/>
      <c r="L22" s="14"/>
      <c r="M22" s="14"/>
      <c r="N22" s="14"/>
      <c r="O22" s="25"/>
      <c r="P22" s="5"/>
      <c r="Q22" s="5"/>
      <c r="R22" s="5"/>
      <c r="S22" s="5"/>
      <c r="U22" s="1"/>
      <c r="W22" s="1"/>
    </row>
    <row r="23" spans="1:23" ht="18.75" customHeight="1" outlineLevel="1" x14ac:dyDescent="0.2">
      <c r="A23" s="7" t="s">
        <v>36</v>
      </c>
      <c r="B23" s="12" t="s">
        <v>4</v>
      </c>
      <c r="C23" s="8"/>
      <c r="D23" s="8"/>
      <c r="E23" s="9">
        <v>45282.685859999998</v>
      </c>
      <c r="F23" s="8"/>
      <c r="G23" s="8"/>
      <c r="H23" s="14"/>
      <c r="I23" s="14"/>
      <c r="J23" s="14"/>
      <c r="K23" s="14"/>
      <c r="L23" s="14"/>
      <c r="M23" s="14"/>
      <c r="N23" s="14"/>
      <c r="O23" s="25"/>
      <c r="P23" s="5"/>
      <c r="Q23" s="5"/>
      <c r="R23" s="5"/>
      <c r="S23" s="5"/>
      <c r="U23" s="1"/>
      <c r="W23" s="1"/>
    </row>
    <row r="24" spans="1:23" ht="18.75" customHeight="1" outlineLevel="1" x14ac:dyDescent="0.2">
      <c r="A24" s="3" t="s">
        <v>37</v>
      </c>
      <c r="B24" s="3"/>
      <c r="C24" s="10"/>
      <c r="D24" s="10"/>
      <c r="E24" s="10">
        <f>SUM(E18:E23)</f>
        <v>206821.2395994</v>
      </c>
      <c r="F24" s="10">
        <v>206129.87</v>
      </c>
      <c r="G24" s="10">
        <v>202415.76</v>
      </c>
      <c r="H24" s="14">
        <f>0.0162</f>
        <v>1.6199999999999999E-2</v>
      </c>
      <c r="I24" s="14">
        <f>0.0162-0.0001</f>
        <v>1.61E-2</v>
      </c>
      <c r="J24" s="14">
        <f>0.0163-0.0002</f>
        <v>1.61E-2</v>
      </c>
      <c r="K24" s="14">
        <f>0.0163-0.0002</f>
        <v>1.61E-2</v>
      </c>
      <c r="L24" s="14">
        <f>0.0165-0.0002</f>
        <v>1.6300000000000002E-2</v>
      </c>
      <c r="M24" s="14">
        <f>0.0167-0.0002</f>
        <v>1.6500000000000001E-2</v>
      </c>
      <c r="N24" s="14">
        <f>ROUND((J24*4+K24*8)/12,4)</f>
        <v>1.61E-2</v>
      </c>
      <c r="O24" s="26"/>
      <c r="P24" s="26" t="s">
        <v>38</v>
      </c>
      <c r="Q24" s="26">
        <f>E24*ROUND((J24*4+K24*8)/12,4)</f>
        <v>3329.8219575503399</v>
      </c>
      <c r="R24" s="26">
        <f>F24*ROUND((K24*4+L24*8)/12,4)</f>
        <v>3339.3038939999997</v>
      </c>
      <c r="S24" s="26">
        <f>G24*ROUND((L24*4+M24*8)/12,4)</f>
        <v>3319.6184640000006</v>
      </c>
      <c r="U24" s="1"/>
      <c r="W24" s="1"/>
    </row>
    <row r="25" spans="1:23" ht="18.75" customHeight="1" outlineLevel="1" x14ac:dyDescent="0.2">
      <c r="A25" s="7" t="s">
        <v>8</v>
      </c>
      <c r="B25" s="12" t="s">
        <v>4</v>
      </c>
      <c r="C25" s="8"/>
      <c r="D25" s="8"/>
      <c r="E25" s="9"/>
      <c r="F25" s="8">
        <v>14351.457</v>
      </c>
      <c r="G25" s="8"/>
      <c r="H25" s="14"/>
      <c r="I25" s="14"/>
      <c r="J25" s="14"/>
      <c r="K25" s="14"/>
      <c r="L25" s="14"/>
      <c r="M25" s="14"/>
      <c r="N25" s="14"/>
      <c r="O25" s="25"/>
      <c r="P25" s="5"/>
      <c r="Q25" s="5"/>
      <c r="R25" s="5"/>
      <c r="S25" s="5"/>
      <c r="U25" s="1"/>
      <c r="W25" s="1"/>
    </row>
    <row r="26" spans="1:23" ht="18.75" customHeight="1" outlineLevel="1" x14ac:dyDescent="0.2">
      <c r="A26" s="7" t="s">
        <v>9</v>
      </c>
      <c r="B26" s="12" t="s">
        <v>4</v>
      </c>
      <c r="C26" s="8"/>
      <c r="D26" s="8"/>
      <c r="E26" s="9"/>
      <c r="F26" s="8">
        <v>3694.3989999999999</v>
      </c>
      <c r="G26" s="8"/>
      <c r="H26" s="14"/>
      <c r="I26" s="14"/>
      <c r="J26" s="14"/>
      <c r="K26" s="14"/>
      <c r="L26" s="14"/>
      <c r="M26" s="14"/>
      <c r="N26" s="14"/>
      <c r="O26" s="25"/>
      <c r="P26" s="5"/>
      <c r="Q26" s="5"/>
      <c r="R26" s="5"/>
      <c r="S26" s="5"/>
      <c r="U26" s="1"/>
      <c r="W26" s="1"/>
    </row>
    <row r="27" spans="1:23" ht="18.75" customHeight="1" outlineLevel="1" x14ac:dyDescent="0.2">
      <c r="A27" s="7" t="s">
        <v>10</v>
      </c>
      <c r="B27" s="12" t="s">
        <v>4</v>
      </c>
      <c r="C27" s="8"/>
      <c r="D27" s="8"/>
      <c r="E27" s="9"/>
      <c r="F27" s="8">
        <v>99498.236000000004</v>
      </c>
      <c r="G27" s="8"/>
      <c r="H27" s="14"/>
      <c r="I27" s="14"/>
      <c r="J27" s="14"/>
      <c r="K27" s="14"/>
      <c r="L27" s="14"/>
      <c r="M27" s="14"/>
      <c r="N27" s="14"/>
      <c r="O27" s="25"/>
      <c r="P27" s="5"/>
      <c r="Q27" s="5"/>
      <c r="R27" s="5"/>
      <c r="S27" s="5"/>
      <c r="U27" s="1"/>
      <c r="W27" s="1"/>
    </row>
    <row r="28" spans="1:23" ht="18.75" customHeight="1" outlineLevel="1" x14ac:dyDescent="0.2">
      <c r="A28" s="7" t="s">
        <v>11</v>
      </c>
      <c r="B28" s="12" t="s">
        <v>4</v>
      </c>
      <c r="C28" s="8"/>
      <c r="D28" s="8"/>
      <c r="E28" s="9"/>
      <c r="F28" s="8">
        <v>79836.581000000006</v>
      </c>
      <c r="G28" s="8"/>
      <c r="H28" s="14"/>
      <c r="I28" s="14"/>
      <c r="J28" s="14"/>
      <c r="K28" s="14"/>
      <c r="L28" s="14"/>
      <c r="M28" s="14"/>
      <c r="N28" s="14"/>
      <c r="O28" s="25"/>
      <c r="P28" s="5"/>
      <c r="Q28" s="5"/>
      <c r="R28" s="5"/>
      <c r="S28" s="5"/>
      <c r="U28" s="1"/>
      <c r="W28" s="1"/>
    </row>
    <row r="29" spans="1:23" ht="18.75" customHeight="1" outlineLevel="1" x14ac:dyDescent="0.2">
      <c r="A29" s="7" t="s">
        <v>12</v>
      </c>
      <c r="B29" s="12" t="s">
        <v>4</v>
      </c>
      <c r="C29" s="8"/>
      <c r="D29" s="8"/>
      <c r="E29" s="9"/>
      <c r="F29" s="8">
        <v>334582.73200000002</v>
      </c>
      <c r="G29" s="8"/>
      <c r="H29" s="14"/>
      <c r="I29" s="14"/>
      <c r="J29" s="14"/>
      <c r="K29" s="14"/>
      <c r="L29" s="14"/>
      <c r="M29" s="14"/>
      <c r="N29" s="14"/>
      <c r="O29" s="25"/>
      <c r="P29" s="5"/>
      <c r="Q29" s="5"/>
      <c r="R29" s="5"/>
      <c r="S29" s="5"/>
      <c r="U29" s="1"/>
      <c r="W29" s="1"/>
    </row>
    <row r="30" spans="1:23" ht="18.75" customHeight="1" outlineLevel="1" x14ac:dyDescent="0.2">
      <c r="A30" s="7" t="s">
        <v>36</v>
      </c>
      <c r="B30" s="12" t="s">
        <v>4</v>
      </c>
      <c r="C30" s="8"/>
      <c r="D30" s="8"/>
      <c r="E30" s="9"/>
      <c r="F30" s="8">
        <v>14850.653</v>
      </c>
      <c r="G30" s="8"/>
      <c r="H30" s="14"/>
      <c r="I30" s="14"/>
      <c r="J30" s="14"/>
      <c r="K30" s="14"/>
      <c r="L30" s="14"/>
      <c r="M30" s="14"/>
      <c r="N30" s="14"/>
      <c r="O30" s="25"/>
      <c r="P30" s="5"/>
      <c r="Q30" s="5"/>
      <c r="R30" s="5"/>
      <c r="S30" s="5"/>
      <c r="U30" s="1"/>
      <c r="W30" s="1"/>
    </row>
    <row r="31" spans="1:23" ht="18.75" customHeight="1" outlineLevel="1" x14ac:dyDescent="0.2">
      <c r="A31" s="3" t="s">
        <v>39</v>
      </c>
      <c r="B31" s="3"/>
      <c r="C31" s="10"/>
      <c r="D31" s="10"/>
      <c r="E31" s="10"/>
      <c r="F31" s="10">
        <f>SUM(F25:F30)</f>
        <v>546814.05800000008</v>
      </c>
      <c r="G31" s="10">
        <v>497189.63</v>
      </c>
      <c r="H31" s="14">
        <f>0.0162</f>
        <v>1.6199999999999999E-2</v>
      </c>
      <c r="I31" s="14">
        <f>0.0162-0.0001</f>
        <v>1.61E-2</v>
      </c>
      <c r="J31" s="14">
        <f>0.0163-0.0002</f>
        <v>1.61E-2</v>
      </c>
      <c r="K31" s="14">
        <f>0.0163-0.0002</f>
        <v>1.61E-2</v>
      </c>
      <c r="L31" s="14">
        <f>0.0165-0.0002</f>
        <v>1.6300000000000002E-2</v>
      </c>
      <c r="M31" s="14">
        <f>0.0167-0.0002</f>
        <v>1.6500000000000001E-2</v>
      </c>
      <c r="N31" s="14">
        <f>ROUND((K31*4+L31*8)/12,4)</f>
        <v>1.6199999999999999E-2</v>
      </c>
      <c r="O31" s="26"/>
      <c r="P31" s="26" t="s">
        <v>38</v>
      </c>
      <c r="Q31" s="26"/>
      <c r="R31" s="26">
        <f>F31*ROUND((K31*4+L31*8)/12,4)</f>
        <v>8858.3877396000007</v>
      </c>
      <c r="S31" s="26">
        <f>G31*ROUND((L31*4+M31*8)/12,4)</f>
        <v>8153.9099320000005</v>
      </c>
      <c r="U31" s="1"/>
      <c r="W31" s="1"/>
    </row>
    <row r="32" spans="1:23" ht="18.75" customHeight="1" outlineLevel="1" x14ac:dyDescent="0.2">
      <c r="A32" s="7" t="s">
        <v>8</v>
      </c>
      <c r="B32" s="12" t="s">
        <v>4</v>
      </c>
      <c r="C32" s="8"/>
      <c r="D32" s="8"/>
      <c r="E32" s="9"/>
      <c r="F32" s="8"/>
      <c r="G32" s="8">
        <v>20371</v>
      </c>
      <c r="H32" s="14"/>
      <c r="I32" s="14"/>
      <c r="J32" s="14"/>
      <c r="K32" s="14"/>
      <c r="L32" s="14"/>
      <c r="M32" s="14"/>
      <c r="N32" s="14"/>
      <c r="O32" s="25"/>
      <c r="P32" s="5"/>
      <c r="Q32" s="5"/>
      <c r="R32" s="5"/>
      <c r="S32" s="5"/>
      <c r="U32" s="1"/>
      <c r="W32" s="1"/>
    </row>
    <row r="33" spans="1:23" ht="18.75" customHeight="1" outlineLevel="1" x14ac:dyDescent="0.2">
      <c r="A33" s="7" t="s">
        <v>9</v>
      </c>
      <c r="B33" s="12" t="s">
        <v>4</v>
      </c>
      <c r="C33" s="8"/>
      <c r="D33" s="8"/>
      <c r="E33" s="9"/>
      <c r="F33" s="8"/>
      <c r="G33" s="8"/>
      <c r="H33" s="14"/>
      <c r="I33" s="14"/>
      <c r="J33" s="14"/>
      <c r="K33" s="14"/>
      <c r="L33" s="14"/>
      <c r="M33" s="14"/>
      <c r="N33" s="14"/>
      <c r="O33" s="25"/>
      <c r="P33" s="5"/>
      <c r="Q33" s="5"/>
      <c r="R33" s="5"/>
      <c r="S33" s="5"/>
      <c r="U33" s="1"/>
      <c r="W33" s="1"/>
    </row>
    <row r="34" spans="1:23" ht="18.75" customHeight="1" outlineLevel="1" x14ac:dyDescent="0.2">
      <c r="A34" s="7" t="s">
        <v>10</v>
      </c>
      <c r="B34" s="12" t="s">
        <v>4</v>
      </c>
      <c r="C34" s="8"/>
      <c r="D34" s="8"/>
      <c r="E34" s="9"/>
      <c r="F34" s="8"/>
      <c r="G34" s="8">
        <v>106579</v>
      </c>
      <c r="H34" s="14"/>
      <c r="I34" s="14"/>
      <c r="J34" s="14"/>
      <c r="K34" s="14"/>
      <c r="L34" s="14"/>
      <c r="M34" s="14"/>
      <c r="N34" s="14"/>
      <c r="O34" s="25"/>
      <c r="P34" s="5"/>
      <c r="Q34" s="5"/>
      <c r="R34" s="5"/>
      <c r="S34" s="5"/>
      <c r="U34" s="1"/>
      <c r="W34" s="1"/>
    </row>
    <row r="35" spans="1:23" ht="18.75" customHeight="1" outlineLevel="1" x14ac:dyDescent="0.2">
      <c r="A35" s="7" t="s">
        <v>11</v>
      </c>
      <c r="B35" s="12" t="s">
        <v>4</v>
      </c>
      <c r="C35" s="8"/>
      <c r="D35" s="8"/>
      <c r="E35" s="9"/>
      <c r="F35" s="8"/>
      <c r="G35" s="8">
        <v>138305</v>
      </c>
      <c r="H35" s="14"/>
      <c r="I35" s="14"/>
      <c r="J35" s="14"/>
      <c r="K35" s="14"/>
      <c r="L35" s="14"/>
      <c r="M35" s="14"/>
      <c r="N35" s="14"/>
      <c r="O35" s="25"/>
      <c r="P35" s="5"/>
      <c r="Q35" s="5"/>
      <c r="R35" s="5"/>
      <c r="S35" s="5"/>
      <c r="U35" s="1"/>
      <c r="W35" s="1"/>
    </row>
    <row r="36" spans="1:23" ht="18.75" customHeight="1" outlineLevel="1" x14ac:dyDescent="0.2">
      <c r="A36" s="7" t="s">
        <v>12</v>
      </c>
      <c r="B36" s="12" t="s">
        <v>4</v>
      </c>
      <c r="C36" s="8"/>
      <c r="D36" s="8"/>
      <c r="E36" s="9"/>
      <c r="F36" s="8"/>
      <c r="G36" s="8">
        <v>251212</v>
      </c>
      <c r="H36" s="14"/>
      <c r="I36" s="14"/>
      <c r="J36" s="14"/>
      <c r="K36" s="14"/>
      <c r="L36" s="14"/>
      <c r="M36" s="14"/>
      <c r="N36" s="14"/>
      <c r="O36" s="25"/>
      <c r="P36" s="5"/>
      <c r="Q36" s="5"/>
      <c r="R36" s="5"/>
      <c r="S36" s="5"/>
      <c r="U36" s="1"/>
      <c r="W36" s="1"/>
    </row>
    <row r="37" spans="1:23" ht="18.75" customHeight="1" outlineLevel="1" x14ac:dyDescent="0.2">
      <c r="A37" s="7" t="s">
        <v>36</v>
      </c>
      <c r="B37" s="12" t="s">
        <v>4</v>
      </c>
      <c r="C37" s="8"/>
      <c r="D37" s="8"/>
      <c r="E37" s="9"/>
      <c r="F37" s="8"/>
      <c r="G37" s="8">
        <v>84301</v>
      </c>
      <c r="H37" s="14"/>
      <c r="I37" s="14"/>
      <c r="J37" s="14"/>
      <c r="K37" s="14"/>
      <c r="L37" s="14"/>
      <c r="M37" s="14"/>
      <c r="N37" s="14"/>
      <c r="O37" s="25"/>
      <c r="P37" s="5"/>
      <c r="Q37" s="5"/>
      <c r="R37" s="5"/>
      <c r="S37" s="5"/>
      <c r="U37" s="1"/>
      <c r="W37" s="1"/>
    </row>
    <row r="38" spans="1:23" ht="18.75" customHeight="1" outlineLevel="1" x14ac:dyDescent="0.2">
      <c r="A38" s="3" t="s">
        <v>50</v>
      </c>
      <c r="B38" s="3"/>
      <c r="C38" s="10"/>
      <c r="D38" s="10"/>
      <c r="E38" s="10"/>
      <c r="F38" s="10"/>
      <c r="G38" s="10">
        <f>SUM(G32:G37)</f>
        <v>600768</v>
      </c>
      <c r="H38" s="14">
        <f>0.0162</f>
        <v>1.6199999999999999E-2</v>
      </c>
      <c r="I38" s="14">
        <f>0.0162-0.0001</f>
        <v>1.61E-2</v>
      </c>
      <c r="J38" s="14">
        <f>0.0163-0.0002</f>
        <v>1.61E-2</v>
      </c>
      <c r="K38" s="14">
        <f>0.0163-0.0002</f>
        <v>1.61E-2</v>
      </c>
      <c r="L38" s="14">
        <f>0.0165-0.0002</f>
        <v>1.6300000000000002E-2</v>
      </c>
      <c r="M38" s="14">
        <f>0.0167-0.0002</f>
        <v>1.6500000000000001E-2</v>
      </c>
      <c r="N38" s="14">
        <f>ROUND((L38*4+M38*8)/12,4)</f>
        <v>1.6400000000000001E-2</v>
      </c>
      <c r="O38" s="26"/>
      <c r="P38" s="26" t="s">
        <v>38</v>
      </c>
      <c r="Q38" s="26"/>
      <c r="R38" s="26"/>
      <c r="S38" s="26">
        <f>G38*ROUND((L38*4+M38*8)/12,4)</f>
        <v>9852.5952000000016</v>
      </c>
      <c r="U38" s="1"/>
      <c r="W38" s="1"/>
    </row>
    <row r="39" spans="1:23" s="24" customFormat="1" ht="16.5" customHeight="1" outlineLevel="1" x14ac:dyDescent="0.2">
      <c r="A39" s="20" t="s">
        <v>43</v>
      </c>
      <c r="B39" s="20"/>
      <c r="C39" s="21">
        <f>C10</f>
        <v>318403.16729931644</v>
      </c>
      <c r="D39" s="21">
        <f>D10+D17</f>
        <v>570973.90500000003</v>
      </c>
      <c r="E39" s="22">
        <f>E10+E17+E24</f>
        <v>775771.1495994</v>
      </c>
      <c r="F39" s="21">
        <f>F10+F17+F24+F31</f>
        <v>1321191.048</v>
      </c>
      <c r="G39" s="21">
        <f>G10+G17+G24+G31+G38</f>
        <v>1834393.9100000001</v>
      </c>
      <c r="H39" s="22"/>
      <c r="I39" s="22"/>
      <c r="J39" s="22"/>
      <c r="K39" s="22"/>
      <c r="L39" s="22"/>
      <c r="M39" s="22"/>
      <c r="N39" s="22"/>
      <c r="O39" s="27"/>
      <c r="P39" s="27"/>
      <c r="Q39" s="27"/>
      <c r="R39" s="27"/>
      <c r="S39" s="27">
        <f>SUM(O5:S38)</f>
        <v>78296.241474169321</v>
      </c>
      <c r="U39" s="23"/>
      <c r="W39" s="23"/>
    </row>
    <row r="40" spans="1:23" ht="18.75" customHeight="1" x14ac:dyDescent="0.2">
      <c r="A40" s="15" t="s">
        <v>1</v>
      </c>
      <c r="B40" s="18"/>
      <c r="C40" s="19"/>
      <c r="D40" s="19"/>
      <c r="E40" s="17"/>
      <c r="F40" s="19"/>
      <c r="G40" s="19"/>
      <c r="H40" s="17"/>
      <c r="I40" s="17"/>
      <c r="J40" s="17"/>
      <c r="K40" s="17"/>
      <c r="L40" s="17"/>
      <c r="M40" s="17"/>
      <c r="N40" s="17"/>
      <c r="O40" s="28"/>
      <c r="P40" s="28"/>
      <c r="Q40" s="28"/>
      <c r="R40" s="28"/>
      <c r="S40" s="28"/>
      <c r="U40" s="1"/>
      <c r="W40" s="1"/>
    </row>
    <row r="41" spans="1:23" ht="18.75" customHeight="1" x14ac:dyDescent="0.2">
      <c r="A41" s="7" t="s">
        <v>13</v>
      </c>
      <c r="B41" s="12" t="s">
        <v>4</v>
      </c>
      <c r="C41" s="8">
        <v>89014.900144817962</v>
      </c>
      <c r="D41" s="8"/>
      <c r="E41" s="8"/>
      <c r="F41" s="8"/>
      <c r="G41" s="8"/>
      <c r="H41" s="14"/>
      <c r="I41" s="14"/>
      <c r="J41" s="14"/>
      <c r="K41" s="14"/>
      <c r="L41" s="14"/>
      <c r="M41" s="14"/>
      <c r="N41" s="14"/>
      <c r="O41" s="25"/>
      <c r="P41" s="5"/>
      <c r="Q41" s="5"/>
      <c r="R41" s="5"/>
      <c r="S41" s="5"/>
      <c r="U41" s="1"/>
      <c r="W41" s="1"/>
    </row>
    <row r="42" spans="1:23" ht="18.75" customHeight="1" x14ac:dyDescent="0.2">
      <c r="A42" s="7" t="s">
        <v>14</v>
      </c>
      <c r="B42" s="12" t="s">
        <v>4</v>
      </c>
      <c r="C42" s="8">
        <v>405264.03151140938</v>
      </c>
      <c r="D42" s="8"/>
      <c r="E42" s="8"/>
      <c r="F42" s="8"/>
      <c r="G42" s="8"/>
      <c r="H42" s="14"/>
      <c r="I42" s="14"/>
      <c r="J42" s="14"/>
      <c r="K42" s="14"/>
      <c r="L42" s="14"/>
      <c r="M42" s="14"/>
      <c r="N42" s="14"/>
      <c r="O42" s="25"/>
      <c r="P42" s="5"/>
      <c r="Q42" s="5"/>
      <c r="R42" s="5"/>
      <c r="S42" s="5"/>
      <c r="U42" s="1"/>
      <c r="W42" s="1"/>
    </row>
    <row r="43" spans="1:23" ht="18.75" customHeight="1" x14ac:dyDescent="0.2">
      <c r="A43" s="3" t="s">
        <v>32</v>
      </c>
      <c r="B43" s="3"/>
      <c r="C43" s="10">
        <f>SUM(C41:C42)</f>
        <v>494278.93165622733</v>
      </c>
      <c r="D43" s="10">
        <v>494278.93</v>
      </c>
      <c r="E43" s="10">
        <v>494278.93</v>
      </c>
      <c r="F43" s="10">
        <v>333050.67</v>
      </c>
      <c r="G43" s="10">
        <v>333050.67</v>
      </c>
      <c r="H43" s="14">
        <f>0.0157</f>
        <v>1.5699999999999999E-2</v>
      </c>
      <c r="I43" s="14">
        <f>0.0157-0.0001</f>
        <v>1.5599999999999999E-2</v>
      </c>
      <c r="J43" s="14">
        <f>0.0158-0.0002</f>
        <v>1.5600000000000001E-2</v>
      </c>
      <c r="K43" s="14">
        <f>0.0158-0.0002</f>
        <v>1.5600000000000001E-2</v>
      </c>
      <c r="L43" s="14">
        <f>0.016-0.0002</f>
        <v>1.5800000000000002E-2</v>
      </c>
      <c r="M43" s="14">
        <f>0.0162-0.0002</f>
        <v>1.6E-2</v>
      </c>
      <c r="N43" s="14">
        <f>ROUND((H43*4+I43*8)/12,4)</f>
        <v>1.5599999999999999E-2</v>
      </c>
      <c r="O43" s="26">
        <f>C43*ROUND((H43*4+I43*8)/12,4)</f>
        <v>7710.7513338371464</v>
      </c>
      <c r="P43" s="26">
        <f>D43*ROUND((I43*4+J43*8)/12,4)</f>
        <v>7710.7513079999999</v>
      </c>
      <c r="Q43" s="26">
        <f>E43*ROUND((J43*4+K43*8)/12,4)</f>
        <v>7710.7513079999999</v>
      </c>
      <c r="R43" s="26">
        <f>F43*ROUND((K43*4+L43*8)/12,4)</f>
        <v>5228.8955189999997</v>
      </c>
      <c r="S43" s="26">
        <f>G43*ROUND((L43*4+M43*8)/12,4)</f>
        <v>5295.5056530000002</v>
      </c>
      <c r="U43" s="1"/>
      <c r="W43" s="1"/>
    </row>
    <row r="44" spans="1:23" ht="18.75" customHeight="1" x14ac:dyDescent="0.2">
      <c r="A44" s="7" t="s">
        <v>13</v>
      </c>
      <c r="B44" s="12" t="s">
        <v>4</v>
      </c>
      <c r="C44" s="8"/>
      <c r="D44" s="8">
        <v>77457.777164055762</v>
      </c>
      <c r="E44" s="8"/>
      <c r="F44" s="8"/>
      <c r="G44" s="8"/>
      <c r="H44" s="14"/>
      <c r="I44" s="14"/>
      <c r="J44" s="14"/>
      <c r="K44" s="14"/>
      <c r="L44" s="14"/>
      <c r="M44" s="14"/>
      <c r="N44" s="14"/>
      <c r="O44" s="25"/>
      <c r="P44" s="5"/>
      <c r="Q44" s="5"/>
      <c r="R44" s="5"/>
      <c r="S44" s="5"/>
      <c r="U44" s="1"/>
      <c r="W44" s="1"/>
    </row>
    <row r="45" spans="1:23" ht="18.75" customHeight="1" x14ac:dyDescent="0.2">
      <c r="A45" s="7" t="s">
        <v>14</v>
      </c>
      <c r="B45" s="12" t="s">
        <v>4</v>
      </c>
      <c r="C45" s="8"/>
      <c r="D45" s="8">
        <v>313951.79800000001</v>
      </c>
      <c r="E45" s="8"/>
      <c r="F45" s="8"/>
      <c r="G45" s="8"/>
      <c r="H45" s="14"/>
      <c r="I45" s="14"/>
      <c r="J45" s="14"/>
      <c r="K45" s="14"/>
      <c r="L45" s="14"/>
      <c r="M45" s="14"/>
      <c r="N45" s="14"/>
      <c r="O45" s="25"/>
      <c r="P45" s="5"/>
      <c r="Q45" s="5"/>
      <c r="R45" s="5"/>
      <c r="S45" s="5"/>
      <c r="U45" s="1"/>
      <c r="W45" s="1"/>
    </row>
    <row r="46" spans="1:23" ht="18.75" customHeight="1" x14ac:dyDescent="0.2">
      <c r="A46" s="3" t="s">
        <v>35</v>
      </c>
      <c r="B46" s="3"/>
      <c r="C46" s="10"/>
      <c r="D46" s="10">
        <f>SUM(D44:D45)</f>
        <v>391409.5751640558</v>
      </c>
      <c r="E46" s="10">
        <v>391409.57</v>
      </c>
      <c r="F46" s="10">
        <v>391409.56</v>
      </c>
      <c r="G46" s="10">
        <v>264625.17</v>
      </c>
      <c r="H46" s="14">
        <f>0.0157</f>
        <v>1.5699999999999999E-2</v>
      </c>
      <c r="I46" s="14">
        <f>0.0157-0.0001</f>
        <v>1.5599999999999999E-2</v>
      </c>
      <c r="J46" s="14">
        <f>0.0158-0.0002</f>
        <v>1.5600000000000001E-2</v>
      </c>
      <c r="K46" s="14">
        <f>0.0158-0.0002</f>
        <v>1.5600000000000001E-2</v>
      </c>
      <c r="L46" s="14">
        <f>0.016-0.0002</f>
        <v>1.5800000000000002E-2</v>
      </c>
      <c r="M46" s="14">
        <f>0.0162-0.0002</f>
        <v>1.6E-2</v>
      </c>
      <c r="N46" s="14">
        <f>ROUND((I46*4+J46*8)/12,4)</f>
        <v>1.5599999999999999E-2</v>
      </c>
      <c r="O46" s="26"/>
      <c r="P46" s="26">
        <f>D46*ROUND((I46*4+J46*8)/12,4)</f>
        <v>6105.9893725592701</v>
      </c>
      <c r="Q46" s="26">
        <f>E46*ROUND((J46*4+K46*8)/12,4)</f>
        <v>6105.9892920000002</v>
      </c>
      <c r="R46" s="26">
        <f>F46*ROUND((K46*4+L46*8)/12,4)</f>
        <v>6145.1300919999994</v>
      </c>
      <c r="S46" s="26">
        <f>G46*ROUND((L46*4+M46*8)/12,4)</f>
        <v>4207.5402029999996</v>
      </c>
      <c r="U46" s="1"/>
      <c r="W46" s="1"/>
    </row>
    <row r="47" spans="1:23" ht="18.75" customHeight="1" x14ac:dyDescent="0.2">
      <c r="A47" s="7" t="s">
        <v>13</v>
      </c>
      <c r="B47" s="12" t="s">
        <v>4</v>
      </c>
      <c r="C47" s="8"/>
      <c r="D47" s="8"/>
      <c r="E47" s="8">
        <v>112514.35431155797</v>
      </c>
      <c r="F47" s="8"/>
      <c r="G47" s="8"/>
      <c r="H47" s="14"/>
      <c r="I47" s="14"/>
      <c r="J47" s="14"/>
      <c r="K47" s="14"/>
      <c r="L47" s="14"/>
      <c r="M47" s="14"/>
      <c r="N47" s="14"/>
      <c r="O47" s="25"/>
      <c r="P47" s="5"/>
      <c r="Q47" s="5"/>
      <c r="R47" s="5"/>
      <c r="S47" s="5"/>
      <c r="U47" s="1"/>
      <c r="W47" s="1"/>
    </row>
    <row r="48" spans="1:23" ht="18.75" customHeight="1" x14ac:dyDescent="0.2">
      <c r="A48" s="7" t="s">
        <v>14</v>
      </c>
      <c r="B48" s="12" t="s">
        <v>4</v>
      </c>
      <c r="C48" s="8"/>
      <c r="D48" s="8"/>
      <c r="E48" s="8">
        <v>426279.23487770901</v>
      </c>
      <c r="F48" s="8"/>
      <c r="G48" s="8"/>
      <c r="H48" s="14"/>
      <c r="I48" s="14"/>
      <c r="J48" s="14"/>
      <c r="K48" s="14"/>
      <c r="L48" s="14"/>
      <c r="M48" s="14"/>
      <c r="N48" s="14"/>
      <c r="O48" s="25"/>
      <c r="P48" s="5"/>
      <c r="Q48" s="5"/>
      <c r="R48" s="5"/>
      <c r="S48" s="5"/>
      <c r="U48" s="1"/>
      <c r="W48" s="1"/>
    </row>
    <row r="49" spans="1:23" ht="18.75" customHeight="1" x14ac:dyDescent="0.2">
      <c r="A49" s="3" t="s">
        <v>37</v>
      </c>
      <c r="B49" s="3"/>
      <c r="C49" s="10"/>
      <c r="D49" s="10"/>
      <c r="E49" s="10">
        <f>SUM(E47:E48)</f>
        <v>538793.58918926702</v>
      </c>
      <c r="F49" s="10">
        <v>535953.96</v>
      </c>
      <c r="G49" s="10">
        <v>518123.37</v>
      </c>
      <c r="H49" s="14">
        <f>0.0157</f>
        <v>1.5699999999999999E-2</v>
      </c>
      <c r="I49" s="14">
        <f>0.0157-0.0001</f>
        <v>1.5599999999999999E-2</v>
      </c>
      <c r="J49" s="14">
        <f>0.0158-0.0002</f>
        <v>1.5600000000000001E-2</v>
      </c>
      <c r="K49" s="14">
        <f>0.0158-0.0002</f>
        <v>1.5600000000000001E-2</v>
      </c>
      <c r="L49" s="14">
        <f>0.016-0.0002</f>
        <v>1.5800000000000002E-2</v>
      </c>
      <c r="M49" s="14">
        <f>0.0162-0.0002</f>
        <v>1.6E-2</v>
      </c>
      <c r="N49" s="14">
        <f>ROUND((J49*4+K49*8)/12,4)</f>
        <v>1.5599999999999999E-2</v>
      </c>
      <c r="O49" s="26"/>
      <c r="P49" s="26"/>
      <c r="Q49" s="26">
        <f>E49*ROUND((J49*4+K49*8)/12,4)</f>
        <v>8405.1799913525647</v>
      </c>
      <c r="R49" s="26">
        <f>F49*ROUND((K49*4+L49*8)/12,4)</f>
        <v>8414.477171999999</v>
      </c>
      <c r="S49" s="26">
        <f>G49*ROUND((L49*4+M49*8)/12,4)</f>
        <v>8238.161583000001</v>
      </c>
      <c r="U49" s="1"/>
      <c r="W49" s="1"/>
    </row>
    <row r="50" spans="1:23" ht="18.75" customHeight="1" x14ac:dyDescent="0.2">
      <c r="A50" s="7" t="s">
        <v>13</v>
      </c>
      <c r="B50" s="12" t="s">
        <v>4</v>
      </c>
      <c r="C50" s="8"/>
      <c r="D50" s="8"/>
      <c r="E50" s="8"/>
      <c r="F50" s="8">
        <v>62323.570070691465</v>
      </c>
      <c r="G50" s="8"/>
      <c r="H50" s="14"/>
      <c r="I50" s="14"/>
      <c r="J50" s="14"/>
      <c r="K50" s="14"/>
      <c r="L50" s="14"/>
      <c r="M50" s="14"/>
      <c r="N50" s="14"/>
      <c r="O50" s="25"/>
      <c r="P50" s="5"/>
      <c r="Q50" s="5"/>
      <c r="R50" s="5"/>
      <c r="S50" s="5"/>
      <c r="U50" s="1"/>
      <c r="W50" s="1"/>
    </row>
    <row r="51" spans="1:23" ht="18.75" customHeight="1" x14ac:dyDescent="0.2">
      <c r="A51" s="7" t="s">
        <v>14</v>
      </c>
      <c r="B51" s="12" t="s">
        <v>4</v>
      </c>
      <c r="C51" s="8"/>
      <c r="D51" s="8"/>
      <c r="E51" s="8"/>
      <c r="F51" s="8">
        <v>397422.19099999999</v>
      </c>
      <c r="G51" s="8"/>
      <c r="H51" s="14"/>
      <c r="I51" s="14"/>
      <c r="J51" s="14"/>
      <c r="K51" s="14"/>
      <c r="L51" s="14"/>
      <c r="M51" s="14"/>
      <c r="N51" s="14"/>
      <c r="O51" s="25"/>
      <c r="P51" s="5"/>
      <c r="Q51" s="5"/>
      <c r="R51" s="5"/>
      <c r="S51" s="5"/>
      <c r="U51" s="1"/>
      <c r="W51" s="1"/>
    </row>
    <row r="52" spans="1:23" ht="18.75" customHeight="1" x14ac:dyDescent="0.2">
      <c r="A52" s="3" t="s">
        <v>39</v>
      </c>
      <c r="B52" s="3"/>
      <c r="C52" s="10"/>
      <c r="D52" s="10"/>
      <c r="E52" s="10"/>
      <c r="F52" s="10">
        <f>SUM(F50:F51)</f>
        <v>459745.76107069146</v>
      </c>
      <c r="G52" s="10">
        <v>458852.38</v>
      </c>
      <c r="H52" s="14">
        <f>0.0157</f>
        <v>1.5699999999999999E-2</v>
      </c>
      <c r="I52" s="14">
        <f>0.0157-0.0001</f>
        <v>1.5599999999999999E-2</v>
      </c>
      <c r="J52" s="14">
        <f>0.0158-0.0002</f>
        <v>1.5600000000000001E-2</v>
      </c>
      <c r="K52" s="14">
        <f>0.0158-0.0002</f>
        <v>1.5600000000000001E-2</v>
      </c>
      <c r="L52" s="14">
        <f>0.016-0.0002</f>
        <v>1.5800000000000002E-2</v>
      </c>
      <c r="M52" s="14">
        <f>0.0162-0.0002</f>
        <v>1.6E-2</v>
      </c>
      <c r="N52" s="14">
        <f>ROUND((K52*4+L52*8)/12,4)</f>
        <v>1.5699999999999999E-2</v>
      </c>
      <c r="O52" s="26"/>
      <c r="P52" s="26"/>
      <c r="Q52" s="26"/>
      <c r="R52" s="26">
        <f>F52*ROUND((K52*4+L52*8)/12,4)</f>
        <v>7218.0084488098555</v>
      </c>
      <c r="S52" s="26">
        <f>G52*ROUND((L52*4+M52*8)/12,4)</f>
        <v>7295.7528420000008</v>
      </c>
      <c r="U52" s="1"/>
      <c r="W52" s="1"/>
    </row>
    <row r="53" spans="1:23" ht="18.75" customHeight="1" x14ac:dyDescent="0.2">
      <c r="A53" s="7" t="s">
        <v>13</v>
      </c>
      <c r="B53" s="12" t="s">
        <v>4</v>
      </c>
      <c r="C53" s="8"/>
      <c r="D53" s="8"/>
      <c r="E53" s="8"/>
      <c r="F53" s="8"/>
      <c r="G53" s="8">
        <f>951064*0.25</f>
        <v>237766</v>
      </c>
      <c r="H53" s="14"/>
      <c r="I53" s="14"/>
      <c r="J53" s="14"/>
      <c r="K53" s="14"/>
      <c r="L53" s="14"/>
      <c r="M53" s="14"/>
      <c r="N53" s="14"/>
      <c r="O53" s="25"/>
      <c r="P53" s="5"/>
      <c r="Q53" s="5"/>
      <c r="R53" s="5"/>
      <c r="S53" s="5"/>
      <c r="U53" s="1"/>
      <c r="W53" s="1"/>
    </row>
    <row r="54" spans="1:23" ht="18.75" customHeight="1" x14ac:dyDescent="0.2">
      <c r="A54" s="7" t="s">
        <v>14</v>
      </c>
      <c r="B54" s="12" t="s">
        <v>4</v>
      </c>
      <c r="C54" s="8"/>
      <c r="D54" s="8"/>
      <c r="E54" s="8"/>
      <c r="F54" s="8"/>
      <c r="G54" s="8">
        <f>216626*0.85</f>
        <v>184132.1</v>
      </c>
      <c r="H54" s="14"/>
      <c r="I54" s="14"/>
      <c r="J54" s="14"/>
      <c r="K54" s="14"/>
      <c r="L54" s="14"/>
      <c r="M54" s="14"/>
      <c r="N54" s="14"/>
      <c r="O54" s="25"/>
      <c r="P54" s="5"/>
      <c r="Q54" s="5"/>
      <c r="R54" s="5"/>
      <c r="S54" s="5"/>
      <c r="U54" s="1"/>
      <c r="W54" s="1"/>
    </row>
    <row r="55" spans="1:23" ht="18.75" customHeight="1" x14ac:dyDescent="0.2">
      <c r="A55" s="3" t="s">
        <v>50</v>
      </c>
      <c r="B55" s="3"/>
      <c r="C55" s="10"/>
      <c r="D55" s="10"/>
      <c r="E55" s="10"/>
      <c r="F55" s="10"/>
      <c r="G55" s="10">
        <f>SUM(G53:G54)</f>
        <v>421898.1</v>
      </c>
      <c r="H55" s="14">
        <f>0.0157</f>
        <v>1.5699999999999999E-2</v>
      </c>
      <c r="I55" s="14">
        <f>0.0157-0.0001</f>
        <v>1.5599999999999999E-2</v>
      </c>
      <c r="J55" s="14">
        <f>0.0158-0.0002</f>
        <v>1.5600000000000001E-2</v>
      </c>
      <c r="K55" s="14">
        <f>0.0158-0.0002</f>
        <v>1.5600000000000001E-2</v>
      </c>
      <c r="L55" s="14">
        <f>0.016-0.0002</f>
        <v>1.5800000000000002E-2</v>
      </c>
      <c r="M55" s="14">
        <f>0.0162-0.0002</f>
        <v>1.6E-2</v>
      </c>
      <c r="N55" s="14">
        <f>ROUND((L55*4+M55*8)/12,4)</f>
        <v>1.5900000000000001E-2</v>
      </c>
      <c r="O55" s="26"/>
      <c r="P55" s="26"/>
      <c r="Q55" s="26"/>
      <c r="R55" s="26"/>
      <c r="S55" s="26">
        <f>G55*ROUND((L55*4+M55*8)/12,4)</f>
        <v>6708.1797900000001</v>
      </c>
      <c r="U55" s="1"/>
      <c r="W55" s="1"/>
    </row>
    <row r="56" spans="1:23" s="24" customFormat="1" ht="16.5" customHeight="1" x14ac:dyDescent="0.2">
      <c r="A56" s="20" t="s">
        <v>44</v>
      </c>
      <c r="B56" s="20"/>
      <c r="C56" s="21">
        <f>C43</f>
        <v>494278.93165622733</v>
      </c>
      <c r="D56" s="21">
        <f>D43+D46</f>
        <v>885688.50516405585</v>
      </c>
      <c r="E56" s="22">
        <f>E43+E46+E49</f>
        <v>1424482.089189267</v>
      </c>
      <c r="F56" s="21">
        <f>F43+F46+F49+F52</f>
        <v>1720159.9510706915</v>
      </c>
      <c r="G56" s="21">
        <f>G43+G46+G49+G52+G55</f>
        <v>1996549.69</v>
      </c>
      <c r="H56" s="22"/>
      <c r="I56" s="22"/>
      <c r="J56" s="22"/>
      <c r="K56" s="22"/>
      <c r="L56" s="22"/>
      <c r="M56" s="22"/>
      <c r="N56" s="22"/>
      <c r="O56" s="27"/>
      <c r="P56" s="27"/>
      <c r="Q56" s="27"/>
      <c r="R56" s="27"/>
      <c r="S56" s="27">
        <f>SUM(O41:S55)</f>
        <v>102501.06390855882</v>
      </c>
      <c r="U56" s="23"/>
      <c r="W56" s="23"/>
    </row>
    <row r="57" spans="1:23" ht="18.75" customHeight="1" x14ac:dyDescent="0.2">
      <c r="A57" s="15" t="s">
        <v>2</v>
      </c>
      <c r="B57" s="18"/>
      <c r="C57" s="19"/>
      <c r="D57" s="19"/>
      <c r="E57" s="19"/>
      <c r="F57" s="19"/>
      <c r="G57" s="19"/>
      <c r="H57" s="17"/>
      <c r="I57" s="17"/>
      <c r="J57" s="17"/>
      <c r="K57" s="17"/>
      <c r="L57" s="17"/>
      <c r="M57" s="17"/>
      <c r="N57" s="17"/>
      <c r="O57" s="28"/>
      <c r="P57" s="28"/>
      <c r="Q57" s="28"/>
      <c r="R57" s="28"/>
      <c r="S57" s="28"/>
      <c r="U57" s="1"/>
      <c r="W57" s="1"/>
    </row>
    <row r="58" spans="1:23" ht="18.75" customHeight="1" x14ac:dyDescent="0.2">
      <c r="A58" s="7" t="s">
        <v>13</v>
      </c>
      <c r="B58" s="12" t="s">
        <v>5</v>
      </c>
      <c r="C58" s="8">
        <v>531.78654967356158</v>
      </c>
      <c r="D58" s="8"/>
      <c r="E58" s="8"/>
      <c r="F58" s="8"/>
      <c r="G58" s="8"/>
      <c r="H58" s="14"/>
      <c r="I58" s="14"/>
      <c r="J58" s="14"/>
      <c r="K58" s="14"/>
      <c r="L58" s="14"/>
      <c r="M58" s="14"/>
      <c r="N58" s="14"/>
      <c r="O58" s="25"/>
      <c r="P58" s="5"/>
      <c r="Q58" s="5"/>
      <c r="R58" s="5"/>
      <c r="S58" s="5"/>
      <c r="U58" s="1"/>
      <c r="W58" s="1"/>
    </row>
    <row r="59" spans="1:23" ht="18.75" customHeight="1" x14ac:dyDescent="0.2">
      <c r="A59" s="32" t="s">
        <v>15</v>
      </c>
      <c r="B59" s="33" t="s">
        <v>5</v>
      </c>
      <c r="C59" s="34"/>
      <c r="D59" s="8"/>
      <c r="E59" s="8"/>
      <c r="F59" s="8"/>
      <c r="G59" s="8"/>
      <c r="H59" s="14"/>
      <c r="I59" s="14"/>
      <c r="J59" s="14"/>
      <c r="K59" s="14"/>
      <c r="L59" s="14"/>
      <c r="M59" s="14"/>
      <c r="N59" s="14"/>
      <c r="O59" s="25"/>
      <c r="P59" s="5"/>
      <c r="Q59" s="5"/>
      <c r="R59" s="5"/>
      <c r="S59" s="5"/>
      <c r="U59" s="1"/>
      <c r="W59" s="1"/>
    </row>
    <row r="60" spans="1:23" ht="18.75" customHeight="1" x14ac:dyDescent="0.2">
      <c r="A60" s="7" t="s">
        <v>16</v>
      </c>
      <c r="B60" s="12" t="s">
        <v>5</v>
      </c>
      <c r="C60" s="8">
        <v>517.07335680000006</v>
      </c>
      <c r="D60" s="8"/>
      <c r="E60" s="8"/>
      <c r="F60" s="8"/>
      <c r="G60" s="8"/>
      <c r="H60" s="14"/>
      <c r="I60" s="14"/>
      <c r="J60" s="14"/>
      <c r="K60" s="14"/>
      <c r="L60" s="14"/>
      <c r="M60" s="14"/>
      <c r="N60" s="14"/>
      <c r="O60" s="25"/>
      <c r="P60" s="5"/>
      <c r="Q60" s="5"/>
      <c r="R60" s="5"/>
      <c r="S60" s="5"/>
      <c r="U60" s="1"/>
      <c r="W60" s="1"/>
    </row>
    <row r="61" spans="1:23" ht="18.75" customHeight="1" x14ac:dyDescent="0.2">
      <c r="A61" s="7" t="s">
        <v>17</v>
      </c>
      <c r="B61" s="12" t="s">
        <v>5</v>
      </c>
      <c r="C61" s="8">
        <v>1536.0057739514045</v>
      </c>
      <c r="D61" s="8"/>
      <c r="E61" s="8"/>
      <c r="F61" s="8"/>
      <c r="G61" s="8"/>
      <c r="H61" s="14"/>
      <c r="I61" s="14"/>
      <c r="J61" s="14"/>
      <c r="K61" s="14"/>
      <c r="L61" s="14"/>
      <c r="M61" s="14"/>
      <c r="N61" s="14"/>
      <c r="O61" s="25"/>
      <c r="P61" s="5"/>
      <c r="Q61" s="5"/>
      <c r="R61" s="5"/>
      <c r="S61" s="5"/>
      <c r="U61" s="1"/>
      <c r="W61" s="1"/>
    </row>
    <row r="62" spans="1:23" ht="18.75" customHeight="1" x14ac:dyDescent="0.2">
      <c r="A62" s="7" t="s">
        <v>18</v>
      </c>
      <c r="B62" s="12" t="s">
        <v>5</v>
      </c>
      <c r="C62" s="8">
        <v>10471.68</v>
      </c>
      <c r="D62" s="8"/>
      <c r="E62" s="8"/>
      <c r="F62" s="8"/>
      <c r="G62" s="8"/>
      <c r="H62" s="14"/>
      <c r="I62" s="14"/>
      <c r="J62" s="14"/>
      <c r="K62" s="14"/>
      <c r="L62" s="14"/>
      <c r="M62" s="14"/>
      <c r="N62" s="14"/>
      <c r="O62" s="25"/>
      <c r="P62" s="5"/>
      <c r="Q62" s="5"/>
      <c r="R62" s="5"/>
      <c r="S62" s="5"/>
      <c r="U62" s="1"/>
      <c r="W62" s="1"/>
    </row>
    <row r="63" spans="1:23" ht="18.75" customHeight="1" x14ac:dyDescent="0.2">
      <c r="A63" s="3" t="s">
        <v>32</v>
      </c>
      <c r="B63" s="3"/>
      <c r="C63" s="10">
        <f>SUM(C58:C62)</f>
        <v>13056.545680424966</v>
      </c>
      <c r="D63" s="10">
        <v>13056.54</v>
      </c>
      <c r="E63" s="10">
        <v>13056.54</v>
      </c>
      <c r="F63" s="10">
        <v>13056.54</v>
      </c>
      <c r="G63" s="10">
        <v>13056.54</v>
      </c>
      <c r="H63" s="14">
        <f>3.5554</f>
        <v>3.5554000000000001</v>
      </c>
      <c r="I63" s="14">
        <f>3.3866-0.0191</f>
        <v>3.3675000000000002</v>
      </c>
      <c r="J63" s="14">
        <f>3.4164-0.0359</f>
        <v>3.3805000000000001</v>
      </c>
      <c r="K63" s="14">
        <f>3.426-0.0355</f>
        <v>3.3905000000000003</v>
      </c>
      <c r="L63" s="14">
        <f>3.474-0.0356</f>
        <v>3.4384000000000001</v>
      </c>
      <c r="M63" s="14">
        <f>3.5192-0.0373</f>
        <v>3.4819</v>
      </c>
      <c r="N63" s="14">
        <f>ROUND((H63*4+I63*8)/12,4)</f>
        <v>3.4300999999999999</v>
      </c>
      <c r="O63" s="26">
        <f>C63*ROUND((H63*4+I63*8)/12,4)</f>
        <v>44785.257338425676</v>
      </c>
      <c r="P63" s="26">
        <f>D63*ROUND((I63*4+J63*8)/12,4)</f>
        <v>44081.490347999999</v>
      </c>
      <c r="Q63" s="26">
        <f>E63*ROUND((J63*4+K63*8)/12,4)</f>
        <v>44225.112288000004</v>
      </c>
      <c r="R63" s="26">
        <f>F63*ROUND((K63*4+L63*8)/12,4)</f>
        <v>44684.702496000005</v>
      </c>
      <c r="S63" s="26">
        <f>G63*ROUND((L63*4+M63*8)/12,4)</f>
        <v>45272.246796000007</v>
      </c>
      <c r="U63" s="1"/>
      <c r="W63" s="1"/>
    </row>
    <row r="64" spans="1:23" ht="18.75" customHeight="1" x14ac:dyDescent="0.2">
      <c r="A64" s="7" t="s">
        <v>13</v>
      </c>
      <c r="B64" s="12" t="s">
        <v>5</v>
      </c>
      <c r="C64" s="8"/>
      <c r="D64" s="8">
        <v>1763.6087626187518</v>
      </c>
      <c r="E64" s="8"/>
      <c r="F64" s="8"/>
      <c r="G64" s="8"/>
      <c r="H64" s="14"/>
      <c r="I64" s="14"/>
      <c r="J64" s="14"/>
      <c r="K64" s="14"/>
      <c r="L64" s="14"/>
      <c r="M64" s="14"/>
      <c r="N64" s="14"/>
      <c r="O64" s="25"/>
      <c r="P64" s="5"/>
      <c r="Q64" s="5"/>
      <c r="R64" s="5"/>
      <c r="S64" s="5"/>
      <c r="U64" s="1"/>
      <c r="W64" s="1"/>
    </row>
    <row r="65" spans="1:23" ht="18.75" customHeight="1" x14ac:dyDescent="0.2">
      <c r="A65" s="32" t="s">
        <v>15</v>
      </c>
      <c r="B65" s="33" t="s">
        <v>5</v>
      </c>
      <c r="C65" s="34"/>
      <c r="D65" s="34"/>
      <c r="E65" s="8"/>
      <c r="F65" s="8"/>
      <c r="G65" s="8"/>
      <c r="H65" s="14"/>
      <c r="I65" s="14"/>
      <c r="J65" s="14"/>
      <c r="K65" s="14"/>
      <c r="L65" s="14"/>
      <c r="M65" s="14"/>
      <c r="N65" s="14"/>
      <c r="O65" s="25"/>
      <c r="P65" s="5"/>
      <c r="Q65" s="5"/>
      <c r="R65" s="5"/>
      <c r="S65" s="5"/>
      <c r="U65" s="1"/>
      <c r="W65" s="1"/>
    </row>
    <row r="66" spans="1:23" ht="18.75" customHeight="1" x14ac:dyDescent="0.2">
      <c r="A66" s="7" t="s">
        <v>17</v>
      </c>
      <c r="B66" s="12" t="s">
        <v>5</v>
      </c>
      <c r="C66" s="8"/>
      <c r="D66" s="8">
        <v>3.6959999999999997</v>
      </c>
      <c r="E66" s="8"/>
      <c r="F66" s="8"/>
      <c r="G66" s="8"/>
      <c r="H66" s="14"/>
      <c r="I66" s="14"/>
      <c r="J66" s="14"/>
      <c r="K66" s="14"/>
      <c r="L66" s="14"/>
      <c r="M66" s="14"/>
      <c r="N66" s="14"/>
      <c r="O66" s="25"/>
      <c r="P66" s="5"/>
      <c r="Q66" s="5"/>
      <c r="R66" s="5"/>
      <c r="S66" s="5"/>
      <c r="U66" s="1"/>
      <c r="W66" s="1"/>
    </row>
    <row r="67" spans="1:23" ht="18.75" customHeight="1" x14ac:dyDescent="0.2">
      <c r="A67" s="3" t="s">
        <v>35</v>
      </c>
      <c r="B67" s="3"/>
      <c r="C67" s="10"/>
      <c r="D67" s="10">
        <f>SUM(D64:D66)</f>
        <v>1767.3047626187517</v>
      </c>
      <c r="E67" s="10">
        <v>1767.33</v>
      </c>
      <c r="F67" s="10">
        <v>1767.33</v>
      </c>
      <c r="G67" s="10">
        <v>1368.77</v>
      </c>
      <c r="H67" s="14">
        <f>3.5554</f>
        <v>3.5554000000000001</v>
      </c>
      <c r="I67" s="14">
        <f>3.3866-0.0191</f>
        <v>3.3675000000000002</v>
      </c>
      <c r="J67" s="14">
        <f>3.4164-0.0359</f>
        <v>3.3805000000000001</v>
      </c>
      <c r="K67" s="14">
        <f>3.426-0.0355</f>
        <v>3.3905000000000003</v>
      </c>
      <c r="L67" s="14">
        <f>3.474-0.0356</f>
        <v>3.4384000000000001</v>
      </c>
      <c r="M67" s="14">
        <f>3.5192-0.0373</f>
        <v>3.4819</v>
      </c>
      <c r="N67" s="14">
        <f>ROUND((I67*4+J67*8)/12,4)</f>
        <v>3.3761999999999999</v>
      </c>
      <c r="O67" s="26"/>
      <c r="P67" s="26">
        <f>D67*ROUND((I67*4+J67*8)/12,4)</f>
        <v>5966.7743395534289</v>
      </c>
      <c r="Q67" s="26">
        <f>E67*ROUND((J67*4+K67*8)/12,4)</f>
        <v>5986.3001759999997</v>
      </c>
      <c r="R67" s="26">
        <f>F67*ROUND((K67*4+L67*8)/12,4)</f>
        <v>6048.5101919999997</v>
      </c>
      <c r="S67" s="26">
        <f>G67*ROUND((L67*4+M67*8)/12,4)</f>
        <v>4746.0730979999998</v>
      </c>
      <c r="U67" s="1"/>
      <c r="W67" s="1"/>
    </row>
    <row r="68" spans="1:23" ht="18.75" customHeight="1" x14ac:dyDescent="0.2">
      <c r="A68" s="7" t="s">
        <v>13</v>
      </c>
      <c r="B68" s="12" t="s">
        <v>5</v>
      </c>
      <c r="C68" s="8"/>
      <c r="D68" s="8"/>
      <c r="E68" s="8">
        <v>625.88928562945262</v>
      </c>
      <c r="F68" s="8"/>
      <c r="G68" s="8"/>
      <c r="H68" s="14"/>
      <c r="I68" s="14"/>
      <c r="J68" s="14"/>
      <c r="K68" s="14"/>
      <c r="L68" s="14"/>
      <c r="M68" s="14"/>
      <c r="N68" s="14"/>
      <c r="O68" s="25"/>
      <c r="P68" s="5"/>
      <c r="Q68" s="5"/>
      <c r="R68" s="5"/>
      <c r="S68" s="5"/>
      <c r="U68" s="1"/>
      <c r="W68" s="1"/>
    </row>
    <row r="69" spans="1:23" ht="18.75" customHeight="1" x14ac:dyDescent="0.2">
      <c r="A69" s="32" t="s">
        <v>15</v>
      </c>
      <c r="B69" s="33" t="s">
        <v>5</v>
      </c>
      <c r="C69" s="34"/>
      <c r="D69" s="34"/>
      <c r="E69" s="34"/>
      <c r="F69" s="8"/>
      <c r="G69" s="8"/>
      <c r="H69" s="14"/>
      <c r="I69" s="14"/>
      <c r="J69" s="14"/>
      <c r="K69" s="14"/>
      <c r="L69" s="14"/>
      <c r="M69" s="14"/>
      <c r="N69" s="14"/>
      <c r="O69" s="25"/>
      <c r="P69" s="5"/>
      <c r="Q69" s="5"/>
      <c r="R69" s="5"/>
      <c r="S69" s="5"/>
      <c r="U69" s="1"/>
      <c r="W69" s="1"/>
    </row>
    <row r="70" spans="1:23" ht="18.75" customHeight="1" x14ac:dyDescent="0.2">
      <c r="A70" s="3" t="s">
        <v>37</v>
      </c>
      <c r="B70" s="3"/>
      <c r="C70" s="10"/>
      <c r="D70" s="10"/>
      <c r="E70" s="10">
        <f>SUM(E68:E69)</f>
        <v>625.88928562945262</v>
      </c>
      <c r="F70" s="10">
        <v>601.65</v>
      </c>
      <c r="G70" s="10">
        <v>571.79</v>
      </c>
      <c r="H70" s="14">
        <f>3.5554</f>
        <v>3.5554000000000001</v>
      </c>
      <c r="I70" s="14">
        <f>3.3866-0.0191</f>
        <v>3.3675000000000002</v>
      </c>
      <c r="J70" s="14">
        <f>3.4164-0.0359</f>
        <v>3.3805000000000001</v>
      </c>
      <c r="K70" s="14">
        <f>3.426-0.0355</f>
        <v>3.3905000000000003</v>
      </c>
      <c r="L70" s="14">
        <f>3.474-0.0356</f>
        <v>3.4384000000000001</v>
      </c>
      <c r="M70" s="14">
        <f>3.5192-0.0373</f>
        <v>3.4819</v>
      </c>
      <c r="N70" s="14">
        <f>ROUND((J70*4+K70*8)/12,4)</f>
        <v>3.3872</v>
      </c>
      <c r="O70" s="26"/>
      <c r="P70" s="26"/>
      <c r="Q70" s="26">
        <f>E70*ROUND((J70*4+K70*8)/12,4)</f>
        <v>2120.0121882840817</v>
      </c>
      <c r="R70" s="26">
        <f>F70*ROUND((K70*4+L70*8)/12,4)</f>
        <v>2059.0869600000001</v>
      </c>
      <c r="S70" s="26">
        <f>G70*ROUND((L70*4+M70*8)/12,4)</f>
        <v>1982.624646</v>
      </c>
      <c r="U70" s="1"/>
      <c r="W70" s="1"/>
    </row>
    <row r="71" spans="1:23" ht="18.75" customHeight="1" x14ac:dyDescent="0.2">
      <c r="A71" s="7" t="s">
        <v>13</v>
      </c>
      <c r="B71" s="12" t="s">
        <v>5</v>
      </c>
      <c r="C71" s="8"/>
      <c r="D71" s="8"/>
      <c r="E71" s="8"/>
      <c r="F71" s="8">
        <v>334.99040333787104</v>
      </c>
      <c r="G71" s="8"/>
      <c r="H71" s="14"/>
      <c r="I71" s="14"/>
      <c r="J71" s="14"/>
      <c r="K71" s="14"/>
      <c r="L71" s="14"/>
      <c r="M71" s="14"/>
      <c r="N71" s="14"/>
      <c r="O71" s="25"/>
      <c r="P71" s="5"/>
      <c r="Q71" s="5"/>
      <c r="R71" s="5"/>
      <c r="S71" s="5"/>
      <c r="U71" s="1"/>
      <c r="W71" s="1"/>
    </row>
    <row r="72" spans="1:23" ht="18.75" customHeight="1" x14ac:dyDescent="0.2">
      <c r="A72" s="7" t="s">
        <v>41</v>
      </c>
      <c r="B72" s="12" t="s">
        <v>5</v>
      </c>
      <c r="C72" s="8"/>
      <c r="D72" s="8"/>
      <c r="E72" s="8"/>
      <c r="F72" s="8">
        <v>320.80799999999999</v>
      </c>
      <c r="G72" s="8"/>
      <c r="H72" s="14"/>
      <c r="I72" s="14"/>
      <c r="J72" s="14"/>
      <c r="K72" s="14"/>
      <c r="L72" s="14"/>
      <c r="M72" s="14"/>
      <c r="N72" s="14"/>
      <c r="O72" s="25"/>
      <c r="P72" s="5"/>
      <c r="Q72" s="5"/>
      <c r="R72" s="5"/>
      <c r="S72" s="5"/>
      <c r="U72" s="1"/>
      <c r="W72" s="1"/>
    </row>
    <row r="73" spans="1:23" ht="18.75" customHeight="1" x14ac:dyDescent="0.2">
      <c r="A73" s="32" t="s">
        <v>15</v>
      </c>
      <c r="B73" s="33" t="s">
        <v>5</v>
      </c>
      <c r="C73" s="34"/>
      <c r="D73" s="34"/>
      <c r="E73" s="34"/>
      <c r="F73" s="34"/>
      <c r="G73" s="35"/>
      <c r="H73" s="14"/>
      <c r="I73" s="14"/>
      <c r="J73" s="14"/>
      <c r="K73" s="14"/>
      <c r="L73" s="14"/>
      <c r="M73" s="14"/>
      <c r="N73" s="14"/>
      <c r="O73" s="25"/>
      <c r="P73" s="5"/>
      <c r="Q73" s="5"/>
      <c r="R73" s="5"/>
      <c r="S73" s="5"/>
      <c r="U73" s="1"/>
      <c r="W73" s="1"/>
    </row>
    <row r="74" spans="1:23" ht="18.75" customHeight="1" x14ac:dyDescent="0.2">
      <c r="A74" s="3" t="s">
        <v>39</v>
      </c>
      <c r="B74" s="3"/>
      <c r="C74" s="10"/>
      <c r="D74" s="10"/>
      <c r="E74" s="10"/>
      <c r="F74" s="10">
        <f>SUM(F71:F73)</f>
        <v>655.79840333787104</v>
      </c>
      <c r="G74" s="10">
        <v>656</v>
      </c>
      <c r="H74" s="14">
        <f>3.5554</f>
        <v>3.5554000000000001</v>
      </c>
      <c r="I74" s="14">
        <f>3.3866-0.0191</f>
        <v>3.3675000000000002</v>
      </c>
      <c r="J74" s="14">
        <f>3.4164-0.0359</f>
        <v>3.3805000000000001</v>
      </c>
      <c r="K74" s="14">
        <f>3.426-0.0355</f>
        <v>3.3905000000000003</v>
      </c>
      <c r="L74" s="14">
        <f>3.474-0.0356</f>
        <v>3.4384000000000001</v>
      </c>
      <c r="M74" s="14">
        <f>3.5192-0.0373</f>
        <v>3.4819</v>
      </c>
      <c r="N74" s="14">
        <f>ROUND((K74*4+L74*8)/12,4)</f>
        <v>3.4224000000000001</v>
      </c>
      <c r="O74" s="26"/>
      <c r="P74" s="26"/>
      <c r="Q74" s="26"/>
      <c r="R74" s="26">
        <f>F74*ROUND((K74*4+L74*8)/12,4)</f>
        <v>2244.4044555835299</v>
      </c>
      <c r="S74" s="26">
        <f>G74*ROUND((L74*4+M74*8)/12,4)</f>
        <v>2274.6143999999999</v>
      </c>
      <c r="U74" s="1"/>
      <c r="W74" s="1"/>
    </row>
    <row r="75" spans="1:23" ht="18.75" customHeight="1" x14ac:dyDescent="0.2">
      <c r="A75" s="7" t="s">
        <v>13</v>
      </c>
      <c r="B75" s="12" t="s">
        <v>5</v>
      </c>
      <c r="C75" s="8"/>
      <c r="D75" s="8"/>
      <c r="E75" s="8"/>
      <c r="F75" s="8"/>
      <c r="G75" s="8">
        <f>119*0.8*12</f>
        <v>1142.4000000000001</v>
      </c>
      <c r="H75" s="14"/>
      <c r="I75" s="14"/>
      <c r="J75" s="14"/>
      <c r="K75" s="14"/>
      <c r="L75" s="14"/>
      <c r="M75" s="14"/>
      <c r="N75" s="14"/>
      <c r="O75" s="25"/>
      <c r="P75" s="5"/>
      <c r="Q75" s="5"/>
      <c r="R75" s="5"/>
      <c r="S75" s="5"/>
      <c r="U75" s="1"/>
      <c r="W75" s="1"/>
    </row>
    <row r="76" spans="1:23" ht="18.75" customHeight="1" x14ac:dyDescent="0.2">
      <c r="A76" s="7" t="s">
        <v>14</v>
      </c>
      <c r="B76" s="12" t="s">
        <v>5</v>
      </c>
      <c r="C76" s="8"/>
      <c r="D76" s="8"/>
      <c r="E76" s="8"/>
      <c r="F76" s="8"/>
      <c r="G76" s="8">
        <f>53*0.15*12</f>
        <v>95.399999999999991</v>
      </c>
      <c r="H76" s="14"/>
      <c r="I76" s="14"/>
      <c r="J76" s="14"/>
      <c r="K76" s="14"/>
      <c r="L76" s="14"/>
      <c r="M76" s="14"/>
      <c r="N76" s="14"/>
      <c r="O76" s="25"/>
      <c r="P76" s="5"/>
      <c r="Q76" s="5"/>
      <c r="R76" s="5"/>
      <c r="S76" s="5"/>
      <c r="U76" s="1"/>
      <c r="W76" s="1"/>
    </row>
    <row r="77" spans="1:23" ht="18.75" customHeight="1" x14ac:dyDescent="0.2">
      <c r="A77" s="7" t="s">
        <v>51</v>
      </c>
      <c r="B77" s="12" t="s">
        <v>5</v>
      </c>
      <c r="C77" s="8"/>
      <c r="D77" s="8"/>
      <c r="E77" s="8"/>
      <c r="F77" s="8"/>
      <c r="G77" s="8">
        <f>6*12</f>
        <v>72</v>
      </c>
      <c r="H77" s="14"/>
      <c r="I77" s="14"/>
      <c r="J77" s="14"/>
      <c r="K77" s="14"/>
      <c r="L77" s="14"/>
      <c r="M77" s="14"/>
      <c r="N77" s="14"/>
      <c r="O77" s="25"/>
      <c r="P77" s="5"/>
      <c r="Q77" s="5"/>
      <c r="R77" s="5"/>
      <c r="S77" s="5"/>
      <c r="U77" s="1"/>
      <c r="W77" s="1"/>
    </row>
    <row r="78" spans="1:23" ht="18.75" customHeight="1" x14ac:dyDescent="0.2">
      <c r="A78" s="7" t="s">
        <v>41</v>
      </c>
      <c r="B78" s="12" t="s">
        <v>5</v>
      </c>
      <c r="C78" s="8"/>
      <c r="D78" s="8"/>
      <c r="E78" s="8"/>
      <c r="F78" s="8"/>
      <c r="G78" s="8">
        <f>31*12</f>
        <v>372</v>
      </c>
      <c r="H78" s="14"/>
      <c r="I78" s="14"/>
      <c r="J78" s="14"/>
      <c r="K78" s="14"/>
      <c r="L78" s="14"/>
      <c r="M78" s="14"/>
      <c r="N78" s="14"/>
      <c r="O78" s="25"/>
      <c r="P78" s="5"/>
      <c r="Q78" s="5"/>
      <c r="R78" s="5"/>
      <c r="S78" s="5"/>
      <c r="U78" s="1"/>
      <c r="W78" s="1"/>
    </row>
    <row r="79" spans="1:23" ht="18.75" customHeight="1" x14ac:dyDescent="0.2">
      <c r="A79" s="32" t="s">
        <v>15</v>
      </c>
      <c r="B79" s="33" t="s">
        <v>5</v>
      </c>
      <c r="C79" s="34"/>
      <c r="D79" s="34"/>
      <c r="E79" s="34"/>
      <c r="F79" s="34"/>
      <c r="G79" s="34"/>
      <c r="H79" s="14"/>
      <c r="I79" s="14"/>
      <c r="J79" s="14"/>
      <c r="K79" s="14"/>
      <c r="L79" s="14"/>
      <c r="M79" s="14"/>
      <c r="N79" s="14"/>
      <c r="O79" s="25"/>
      <c r="P79" s="5"/>
      <c r="Q79" s="5"/>
      <c r="R79" s="5"/>
      <c r="S79" s="5"/>
      <c r="U79" s="1"/>
      <c r="W79" s="1"/>
    </row>
    <row r="80" spans="1:23" ht="18.75" customHeight="1" x14ac:dyDescent="0.2">
      <c r="A80" s="3" t="s">
        <v>50</v>
      </c>
      <c r="B80" s="3"/>
      <c r="C80" s="10"/>
      <c r="D80" s="10"/>
      <c r="E80" s="10"/>
      <c r="F80" s="10"/>
      <c r="G80" s="10">
        <f>SUM(G75:G79)</f>
        <v>1681.8000000000002</v>
      </c>
      <c r="H80" s="14">
        <f>3.5554</f>
        <v>3.5554000000000001</v>
      </c>
      <c r="I80" s="14">
        <f>3.3866-0.0191</f>
        <v>3.3675000000000002</v>
      </c>
      <c r="J80" s="14">
        <f>3.4164-0.0359</f>
        <v>3.3805000000000001</v>
      </c>
      <c r="K80" s="14">
        <f>3.426-0.0355</f>
        <v>3.3905000000000003</v>
      </c>
      <c r="L80" s="14">
        <f>3.474-0.0356</f>
        <v>3.4384000000000001</v>
      </c>
      <c r="M80" s="14">
        <f>3.5192-0.0373</f>
        <v>3.4819</v>
      </c>
      <c r="N80" s="14">
        <f>ROUND((L80*4+M80*8)/12,4)</f>
        <v>3.4674</v>
      </c>
      <c r="O80" s="26"/>
      <c r="P80" s="26"/>
      <c r="Q80" s="26"/>
      <c r="R80" s="26"/>
      <c r="S80" s="26">
        <f>G80*ROUND((L80*4+M80*8)/12,4)</f>
        <v>5831.473320000001</v>
      </c>
      <c r="U80" s="1"/>
      <c r="W80" s="1"/>
    </row>
    <row r="81" spans="1:23" ht="18.75" customHeight="1" x14ac:dyDescent="0.2">
      <c r="A81" s="7" t="s">
        <v>19</v>
      </c>
      <c r="B81" s="12" t="s">
        <v>5</v>
      </c>
      <c r="C81" s="8">
        <v>-12720</v>
      </c>
      <c r="D81" s="8"/>
      <c r="E81" s="8"/>
      <c r="F81" s="8"/>
      <c r="G81" s="8"/>
      <c r="H81" s="14"/>
      <c r="I81" s="14"/>
      <c r="J81" s="14"/>
      <c r="K81" s="14"/>
      <c r="L81" s="14"/>
      <c r="M81" s="14"/>
      <c r="N81" s="14"/>
      <c r="O81" s="26"/>
      <c r="P81" s="26"/>
      <c r="Q81" s="26"/>
      <c r="R81" s="26"/>
      <c r="S81" s="26"/>
      <c r="U81" s="1"/>
      <c r="W81" s="1"/>
    </row>
    <row r="82" spans="1:23" ht="18.75" customHeight="1" x14ac:dyDescent="0.2">
      <c r="A82" s="3" t="s">
        <v>40</v>
      </c>
      <c r="B82" s="3"/>
      <c r="C82" s="10">
        <f>SUM(C81)</f>
        <v>-12720</v>
      </c>
      <c r="D82" s="10">
        <v>-12720.000000000004</v>
      </c>
      <c r="E82" s="10">
        <v>-12720.000000000004</v>
      </c>
      <c r="F82" s="10">
        <v>-12720.000000000004</v>
      </c>
      <c r="G82" s="10">
        <v>-12720.000000000004</v>
      </c>
      <c r="H82" s="14">
        <v>1.0109999999999999</v>
      </c>
      <c r="I82" s="14">
        <v>1.0127999999999999</v>
      </c>
      <c r="J82" s="14">
        <v>1.0217000000000001</v>
      </c>
      <c r="K82" s="14">
        <v>1.0246</v>
      </c>
      <c r="L82" s="14">
        <v>1.0388999999999999</v>
      </c>
      <c r="M82" s="14">
        <v>1.0524</v>
      </c>
      <c r="N82" s="14"/>
      <c r="O82" s="26">
        <f>C82*ROUND((H82*4+I82*8)/12,4)</f>
        <v>-12875.183999999999</v>
      </c>
      <c r="P82" s="26">
        <f>D82*ROUND((I82*4+J82*8)/12,4)</f>
        <v>-12957.864000000003</v>
      </c>
      <c r="Q82" s="26">
        <f>E82*ROUND((J82*4+K82*8)/12,4)</f>
        <v>-13020.192000000005</v>
      </c>
      <c r="R82" s="26">
        <f>F82*ROUND((K82*4+L82*8)/12,4)</f>
        <v>-13153.752000000004</v>
      </c>
      <c r="S82" s="26">
        <f>G82*ROUND((L82*4+M82*8)/12,4)-1</f>
        <v>-13330.288000000004</v>
      </c>
      <c r="U82" s="1"/>
      <c r="W82" s="1"/>
    </row>
    <row r="83" spans="1:23" s="24" customFormat="1" ht="16.5" customHeight="1" x14ac:dyDescent="0.2">
      <c r="A83" s="20" t="s">
        <v>45</v>
      </c>
      <c r="B83" s="20"/>
      <c r="C83" s="21">
        <f>C63+C82</f>
        <v>336.54568042496612</v>
      </c>
      <c r="D83" s="21">
        <f>D63+D67+D82</f>
        <v>2103.8447626187481</v>
      </c>
      <c r="E83" s="22">
        <f>E63+E67+E70+E82</f>
        <v>2729.7592856294505</v>
      </c>
      <c r="F83" s="21">
        <f>F63+F67+F70+F74+F82</f>
        <v>3361.3184033378675</v>
      </c>
      <c r="G83" s="21">
        <f>G63+G67+G70+G74+G82+G80</f>
        <v>4614.8999999999987</v>
      </c>
      <c r="H83" s="22"/>
      <c r="I83" s="22"/>
      <c r="J83" s="22"/>
      <c r="K83" s="22"/>
      <c r="L83" s="22"/>
      <c r="M83" s="22"/>
      <c r="N83" s="22"/>
      <c r="O83" s="27"/>
      <c r="P83" s="27"/>
      <c r="Q83" s="27"/>
      <c r="R83" s="27"/>
      <c r="S83" s="27">
        <f>SUM(O58:S82)</f>
        <v>196971.4030418467</v>
      </c>
      <c r="U83" s="23"/>
      <c r="W83" s="23"/>
    </row>
    <row r="84" spans="1:23" ht="18.75" customHeight="1" x14ac:dyDescent="0.2">
      <c r="A84" s="3" t="s">
        <v>42</v>
      </c>
      <c r="B84" s="3"/>
      <c r="C84" s="10"/>
      <c r="D84" s="10"/>
      <c r="E84" s="11"/>
      <c r="F84" s="10"/>
      <c r="G84" s="10"/>
      <c r="H84" s="11"/>
      <c r="I84" s="11"/>
      <c r="J84" s="11"/>
      <c r="K84" s="11"/>
      <c r="L84" s="11"/>
      <c r="M84" s="11"/>
      <c r="N84" s="11"/>
      <c r="O84" s="6">
        <f>SUM(O5:O31,O41:O52,O58:O82)</f>
        <v>44747.115665781814</v>
      </c>
      <c r="P84" s="6">
        <f>SUM(P5:P31,P41:P52,P58:P82)</f>
        <v>60099.821238612698</v>
      </c>
      <c r="Q84" s="6">
        <f>SUM(Q5:Q31,Q41:Q52,Q58:Q82)</f>
        <v>74023.068752186984</v>
      </c>
      <c r="R84" s="6">
        <f>SUM(R5:R31,R41:R52,R58:R82)</f>
        <v>90292.758312993377</v>
      </c>
      <c r="S84" s="6">
        <f>SUM(S5:S31,S41:S52,S58:S82)</f>
        <v>92045.169465000014</v>
      </c>
      <c r="U84" s="1"/>
      <c r="W84" s="1"/>
    </row>
    <row r="85" spans="1:23" ht="18.75" customHeight="1" x14ac:dyDescent="0.2">
      <c r="A85" s="3" t="s">
        <v>6</v>
      </c>
      <c r="B85" s="3"/>
      <c r="C85" s="10"/>
      <c r="D85" s="10"/>
      <c r="E85" s="11"/>
      <c r="F85" s="10"/>
      <c r="G85" s="10"/>
      <c r="H85" s="11"/>
      <c r="I85" s="11"/>
      <c r="J85" s="11"/>
      <c r="K85" s="11"/>
      <c r="L85" s="11"/>
      <c r="M85" s="11"/>
      <c r="N85" s="11"/>
      <c r="O85" s="6"/>
      <c r="P85" s="6"/>
      <c r="Q85" s="6"/>
      <c r="R85" s="6"/>
      <c r="S85" s="6">
        <f>S39+S56+S83</f>
        <v>377768.70842457481</v>
      </c>
      <c r="U85" s="1"/>
      <c r="W85" s="1"/>
    </row>
    <row r="86" spans="1:23" x14ac:dyDescent="0.2">
      <c r="O86" s="29"/>
      <c r="P86" s="29"/>
      <c r="Q86" s="29"/>
      <c r="R86" s="29"/>
      <c r="S86" s="29"/>
      <c r="U86" s="1"/>
      <c r="W86" s="1"/>
    </row>
    <row r="87" spans="1:23" x14ac:dyDescent="0.2">
      <c r="N87">
        <v>2011</v>
      </c>
      <c r="O87" s="29">
        <f>O10+O43+O63+O82</f>
        <v>44747.115665781814</v>
      </c>
      <c r="P87" s="29">
        <f>P10+P43+P63+P82</f>
        <v>43960.661769999999</v>
      </c>
      <c r="Q87" s="29">
        <f>Q10+Q43+Q63+Q82</f>
        <v>44041.955710000002</v>
      </c>
      <c r="R87" s="29">
        <f>R10+R43+R63+R82</f>
        <v>41907.583287000001</v>
      </c>
      <c r="S87" s="29">
        <f>S10+S43+S63+S82</f>
        <v>41887.614421000006</v>
      </c>
      <c r="U87" s="1"/>
      <c r="W87" s="1"/>
    </row>
    <row r="88" spans="1:23" x14ac:dyDescent="0.2">
      <c r="N88">
        <v>2012</v>
      </c>
      <c r="O88" s="29"/>
      <c r="P88" s="29">
        <f>P17+P46+P67</f>
        <v>16139.159468612699</v>
      </c>
      <c r="Q88" s="29">
        <f>Q17+Q46+Q67</f>
        <v>16126.098904999999</v>
      </c>
      <c r="R88" s="29">
        <f>R17+R46+R67</f>
        <v>16251.506356</v>
      </c>
      <c r="S88" s="29">
        <f>S17+S46+S67</f>
        <v>13061.399857</v>
      </c>
    </row>
    <row r="89" spans="1:23" x14ac:dyDescent="0.2">
      <c r="N89">
        <v>2013</v>
      </c>
      <c r="O89" s="29"/>
      <c r="P89" s="29"/>
      <c r="Q89" s="29">
        <f>Q24+Q49+Q70</f>
        <v>13855.014137186985</v>
      </c>
      <c r="R89" s="29">
        <f>R24+R49+R70</f>
        <v>13812.868026</v>
      </c>
      <c r="S89" s="29">
        <f>S24+S49+S70</f>
        <v>13540.404693000002</v>
      </c>
    </row>
    <row r="90" spans="1:23" x14ac:dyDescent="0.2">
      <c r="N90">
        <v>2014</v>
      </c>
      <c r="O90" s="29"/>
      <c r="P90" s="29"/>
      <c r="Q90" s="29"/>
      <c r="R90" s="29">
        <f>R31+R52+R74</f>
        <v>18320.800643993389</v>
      </c>
      <c r="S90" s="29">
        <f>S31+S52+S74</f>
        <v>17724.277173999999</v>
      </c>
    </row>
    <row r="91" spans="1:23" x14ac:dyDescent="0.2">
      <c r="N91">
        <v>2015</v>
      </c>
      <c r="O91" s="29"/>
      <c r="P91" s="29"/>
      <c r="Q91" s="29"/>
      <c r="R91" s="29"/>
      <c r="S91" s="29">
        <f>S38+S55+S80</f>
        <v>22392.248310000003</v>
      </c>
    </row>
    <row r="92" spans="1:23" x14ac:dyDescent="0.2">
      <c r="O92" s="30">
        <f>SUM(O87:O90)</f>
        <v>44747.115665781814</v>
      </c>
      <c r="P92" s="30">
        <f t="shared" ref="P92:R92" si="0">SUM(P87:P90)</f>
        <v>60099.821238612698</v>
      </c>
      <c r="Q92" s="30">
        <f t="shared" si="0"/>
        <v>74023.068752186984</v>
      </c>
      <c r="R92" s="30">
        <f t="shared" si="0"/>
        <v>90292.758312993392</v>
      </c>
      <c r="S92" s="30">
        <f>SUM(S87:S91)</f>
        <v>108605.94445500002</v>
      </c>
    </row>
    <row r="93" spans="1:23" x14ac:dyDescent="0.2">
      <c r="O93" s="29"/>
      <c r="P93" s="29"/>
      <c r="Q93" s="29"/>
      <c r="R93" s="29"/>
      <c r="S93" s="29"/>
    </row>
    <row r="94" spans="1:23" ht="13.5" thickBot="1" x14ac:dyDescent="0.25">
      <c r="O94" s="29"/>
      <c r="P94" s="29"/>
      <c r="Q94" s="29"/>
      <c r="S94" s="31">
        <f>SUM(O92:S92)</f>
        <v>377768.70842457493</v>
      </c>
    </row>
    <row r="95" spans="1:23" ht="13.5" thickTop="1" x14ac:dyDescent="0.2"/>
    <row r="96" spans="1:23" x14ac:dyDescent="0.2">
      <c r="O96" s="36"/>
      <c r="P96" s="36"/>
      <c r="Q96" s="36"/>
      <c r="R96" s="36"/>
      <c r="S96" s="37"/>
    </row>
  </sheetData>
  <mergeCells count="2">
    <mergeCell ref="A1:H1"/>
    <mergeCell ref="A2:H2"/>
  </mergeCells>
  <printOptions horizontalCentered="1"/>
  <pageMargins left="0.31496062992125984" right="0.31496062992125984" top="0.74803149606299213" bottom="0.35433070866141736" header="0.31496062992125984" footer="0.11811023622047245"/>
  <pageSetup scale="60" orientation="landscape" r:id="rId1"/>
  <headerFooter>
    <oddHeader>&amp;ROrillia Power Distribution  Orillia Power Distribution  Corporation
2017 IRM Distribution Rate Application
EB-2016-0099
Submitted September 26, 2016</oddHeader>
  </headerFooter>
  <rowBreaks count="1" manualBreakCount="1">
    <brk id="39" max="1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  CDM Calc by Program</vt:lpstr>
      <vt:lpstr>'Table 2  CDM Calc by Program'!Print_Area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Welsh</dc:creator>
  <cp:lastModifiedBy>Pauline Welsh</cp:lastModifiedBy>
  <cp:lastPrinted>2016-09-24T13:39:43Z</cp:lastPrinted>
  <dcterms:created xsi:type="dcterms:W3CDTF">2013-10-08T23:27:11Z</dcterms:created>
  <dcterms:modified xsi:type="dcterms:W3CDTF">2016-10-26T20:54:22Z</dcterms:modified>
</cp:coreProperties>
</file>