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-210" windowWidth="12120" windowHeight="5970" tabRatio="831" firstSheet="4" activeTab="9"/>
  </bookViews>
  <sheets>
    <sheet name="Exhibit 3 Tables" sheetId="30" r:id="rId1"/>
    <sheet name="Summary" sheetId="11" r:id="rId2"/>
    <sheet name="Purchased Power Model " sheetId="19" r:id="rId3"/>
    <sheet name="Purchased Power Model  WN" sheetId="31" r:id="rId4"/>
    <sheet name="Rate Class Energy Model" sheetId="9" r:id="rId5"/>
    <sheet name="Rate Class Customer Model" sheetId="17" r:id="rId6"/>
    <sheet name="Rate Class Load Model" sheetId="18" r:id="rId7"/>
    <sheet name="CDM Activity" sheetId="29" r:id="rId8"/>
    <sheet name="Weather Analysis" sheetId="23" r:id="rId9"/>
    <sheet name="Loss Factor" sheetId="28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CAP1000" localSheetId="0">#REF!</definedName>
    <definedName name="__CAP1000" localSheetId="3">#REF!</definedName>
    <definedName name="__CAP1000">#REF!</definedName>
    <definedName name="__OP1000" localSheetId="0">#REF!</definedName>
    <definedName name="__OP1000" localSheetId="3">#REF!</definedName>
    <definedName name="__OP1000">#REF!</definedName>
    <definedName name="_110" localSheetId="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hidden="1">'[1]Old MEA Statistics'!$B$250</definedName>
    <definedName name="_OP1000" localSheetId="0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7" hidden="1">[2]Sheet1!$G$40:$K$40</definedName>
    <definedName name="_Sort" localSheetId="0" hidden="1">[3]Sheet1!$G$40:$K$40</definedName>
    <definedName name="_Sort" localSheetId="8" hidden="1">[4]Sheet1!$G$40:$K$40</definedName>
    <definedName name="_Sort" hidden="1">[5]Sheet1!$G$40:$K$40</definedName>
    <definedName name="ALL" localSheetId="0">#REF!</definedName>
    <definedName name="ALL" localSheetId="3">#REF!</definedName>
    <definedName name="ALL">#REF!</definedName>
    <definedName name="ApprovedYr">[6]Z1.ModelVariables!$C$12</definedName>
    <definedName name="CAfile" localSheetId="0">[7]Refs!$B$2</definedName>
    <definedName name="CAfile">[8]Refs!$B$2</definedName>
    <definedName name="CAPCOSTS" localSheetId="0">#REF!</definedName>
    <definedName name="CAPCOSTS" localSheetId="3">#REF!</definedName>
    <definedName name="CAPCOSTS">#REF!</definedName>
    <definedName name="CAPITAL" localSheetId="0">#REF!</definedName>
    <definedName name="CAPITAL" localSheetId="3">#REF!</definedName>
    <definedName name="CAPITAL">#REF!</definedName>
    <definedName name="CapitalExpListing" localSheetId="0">#REF!</definedName>
    <definedName name="CapitalExpListing" localSheetId="3">#REF!</definedName>
    <definedName name="CapitalExpListing">#REF!</definedName>
    <definedName name="CArevReq" localSheetId="0">[7]Refs!$B$6</definedName>
    <definedName name="CArevReq">[8]Refs!$B$6</definedName>
    <definedName name="CASHFLOW" localSheetId="0">#REF!</definedName>
    <definedName name="CASHFLOW" localSheetId="3">#REF!</definedName>
    <definedName name="CASHFLOW">#REF!</definedName>
    <definedName name="cc" localSheetId="0">#REF!</definedName>
    <definedName name="cc" localSheetId="3">#REF!</definedName>
    <definedName name="cc">#REF!</definedName>
    <definedName name="ClassRange1" localSheetId="0">[7]Refs!$B$3</definedName>
    <definedName name="ClassRange1">[8]Refs!$B$3</definedName>
    <definedName name="ClassRange2" localSheetId="0">[7]Refs!$B$4</definedName>
    <definedName name="ClassRange2">[8]Refs!$B$4</definedName>
    <definedName name="contactf" localSheetId="0">#REF!</definedName>
    <definedName name="contactf" localSheetId="3">#REF!</definedName>
    <definedName name="contactf">#REF!</definedName>
    <definedName name="_xlnm.Criteria" localSheetId="0">#REF!</definedName>
    <definedName name="_xlnm.Criteria" localSheetId="3">#REF!</definedName>
    <definedName name="_xlnm.Criteria">#REF!</definedName>
    <definedName name="CRLF">[6]Z1.ModelVariables!$C$10</definedName>
    <definedName name="_xlnm.Database" localSheetId="0">#REF!</definedName>
    <definedName name="_xlnm.Database" localSheetId="3">#REF!</definedName>
    <definedName name="_xlnm.Database">#REF!</definedName>
    <definedName name="DaysInPreviousYear">'[9]Distribution Revenue by Source'!$B$22</definedName>
    <definedName name="DaysInYear">'[9]Distribution Revenue by Source'!$B$21</definedName>
    <definedName name="DEBTREPAY" localSheetId="0">#REF!</definedName>
    <definedName name="DEBTREPAY" localSheetId="3">#REF!</definedName>
    <definedName name="DEBTREPAY">#REF!</definedName>
    <definedName name="DeptDiv" localSheetId="0">#REF!</definedName>
    <definedName name="DeptDiv" localSheetId="3">#REF!</definedName>
    <definedName name="DeptDiv">#REF!</definedName>
    <definedName name="ExpenseAccountListing" localSheetId="0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>[6]Z1.ModelVariables!$C$14</definedName>
    <definedName name="FolderPath" localSheetId="0">[7]Menu!$C$8</definedName>
    <definedName name="FolderPath">[8]Menu!$C$8</definedName>
    <definedName name="histdate">[10]Financials!$E$76</definedName>
    <definedName name="Incr2000" localSheetId="0">#REF!</definedName>
    <definedName name="Incr2000" localSheetId="3">#REF!</definedName>
    <definedName name="Incr2000">#REF!</definedName>
    <definedName name="INTERIM" localSheetId="0">#REF!</definedName>
    <definedName name="INTERIM" localSheetId="3">#REF!</definedName>
    <definedName name="INTERIM">#REF!</definedName>
    <definedName name="LIMIT" localSheetId="0">#REF!</definedName>
    <definedName name="LIMIT" localSheetId="3">#REF!</definedName>
    <definedName name="LIMIT">#REF!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 localSheetId="0">[7]Refs!$B$8</definedName>
    <definedName name="NewRevReq">[8]Refs!$B$8</definedName>
    <definedName name="NOTES" localSheetId="0">#REF!</definedName>
    <definedName name="NOTES" localSheetId="3">#REF!</definedName>
    <definedName name="NOTES">#REF!</definedName>
    <definedName name="OPERATING" localSheetId="0">#REF!</definedName>
    <definedName name="OPERATING" localSheetId="3">#REF!</definedName>
    <definedName name="OPERATING">#REF!</definedName>
    <definedName name="oth_beg_bud" localSheetId="0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7">#REF!</definedName>
    <definedName name="PAGE11" localSheetId="0">#REF!</definedName>
    <definedName name="PAGE11" localSheetId="3">#REF!</definedName>
    <definedName name="PAGE11" localSheetId="8">#REF!</definedName>
    <definedName name="PAGE11">#REF!</definedName>
    <definedName name="PAGE2" localSheetId="7">[2]Sheet1!$A$1:$I$40</definedName>
    <definedName name="PAGE2" localSheetId="0">[3]Sheet1!$A$1:$I$40</definedName>
    <definedName name="PAGE2" localSheetId="8">[4]Sheet1!$A$1:$I$40</definedName>
    <definedName name="PAGE2">[5]Sheet1!$A$1:$I$40</definedName>
    <definedName name="PAGE3" localSheetId="7">#REF!</definedName>
    <definedName name="PAGE3" localSheetId="0">#REF!</definedName>
    <definedName name="PAGE3" localSheetId="3">#REF!</definedName>
    <definedName name="PAGE3" localSheetId="8">#REF!</definedName>
    <definedName name="PAGE3">#REF!</definedName>
    <definedName name="PAGE4" localSheetId="7">#REF!</definedName>
    <definedName name="PAGE4" localSheetId="0">#REF!</definedName>
    <definedName name="PAGE4" localSheetId="3">#REF!</definedName>
    <definedName name="PAGE4" localSheetId="8">#REF!</definedName>
    <definedName name="PAGE4">#REF!</definedName>
    <definedName name="PAGE7" localSheetId="7">#REF!</definedName>
    <definedName name="PAGE7" localSheetId="0">#REF!</definedName>
    <definedName name="PAGE7" localSheetId="3">#REF!</definedName>
    <definedName name="PAGE7" localSheetId="8">#REF!</definedName>
    <definedName name="PAGE7">#REF!</definedName>
    <definedName name="PAGE9" localSheetId="7">#REF!</definedName>
    <definedName name="PAGE9" localSheetId="0">#REF!</definedName>
    <definedName name="PAGE9" localSheetId="3">#REF!</definedName>
    <definedName name="PAGE9" localSheetId="8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2">'Purchased Power Model '!#REF!</definedName>
    <definedName name="_xlnm.Print_Area" localSheetId="3">'Purchased Power Model  WN'!#REF!</definedName>
    <definedName name="_xlnm.Print_Area" localSheetId="5">'Rate Class Customer Model'!$A$1:$C$2</definedName>
    <definedName name="_xlnm.Print_Area" localSheetId="4">'Rate Class Energy Model'!$A$1:$I$2</definedName>
    <definedName name="_xlnm.Print_Area" localSheetId="6">'Rate Class Load Model'!$A$1:$A$1</definedName>
    <definedName name="_xlnm.Print_Area" localSheetId="1">Summary!#REF!</definedName>
    <definedName name="Print_Area_MI" localSheetId="0">#REF!</definedName>
    <definedName name="Print_Area_MI" localSheetId="3">#REF!</definedName>
    <definedName name="Print_Area_MI">#REF!</definedName>
    <definedName name="print_end" localSheetId="0">#REF!</definedName>
    <definedName name="print_end" localSheetId="3">#REF!</definedName>
    <definedName name="print_end">#REF!</definedName>
    <definedName name="PRIOR" localSheetId="0">#REF!</definedName>
    <definedName name="PRIOR" localSheetId="3">#REF!</definedName>
    <definedName name="PRIOR">#REF!</definedName>
    <definedName name="Ratebase">'[9]Distribution Revenue by Source'!$C$25</definedName>
    <definedName name="RevReqLookupKey" localSheetId="0">[7]Refs!$B$5</definedName>
    <definedName name="RevReqLookupKey">[8]Refs!$B$5</definedName>
    <definedName name="RevReqRange" localSheetId="0">[7]Refs!$B$7</definedName>
    <definedName name="RevReqRange">[8]Refs!$B$7</definedName>
    <definedName name="RVCASHPR" localSheetId="0">#REF!</definedName>
    <definedName name="RVCASHPR" localSheetId="3">#REF!</definedName>
    <definedName name="RVCASHPR">#REF!</definedName>
    <definedName name="SALBENF" localSheetId="0">#REF!</definedName>
    <definedName name="SALBENF" localSheetId="3">#REF!</definedName>
    <definedName name="SALBENF">#REF!</definedName>
    <definedName name="salreg" localSheetId="0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>[6]A1.Admin!$C$13</definedName>
    <definedName name="TestYrPL">'[11]Revenue Requirement'!$B$10</definedName>
    <definedName name="total_dept" localSheetId="0">#REF!</definedName>
    <definedName name="total_dept" localSheetId="3">#REF!</definedName>
    <definedName name="total_dept">#REF!</definedName>
    <definedName name="total_manpower" localSheetId="0">#REF!</definedName>
    <definedName name="total_manpower" localSheetId="3">#REF!</definedName>
    <definedName name="total_manpower">#REF!</definedName>
    <definedName name="total_material" localSheetId="0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[10]Financials!$A$1</definedName>
    <definedName name="utitliy1">[12]Financials!$A$1</definedName>
    <definedName name="WAGBENF" localSheetId="0">#REF!</definedName>
    <definedName name="WAGBENF" localSheetId="3">#REF!</definedName>
    <definedName name="WAGBENF">#REF!</definedName>
    <definedName name="wagdob" localSheetId="0">#REF!</definedName>
    <definedName name="wagdob" localSheetId="3">#REF!</definedName>
    <definedName name="wagdob">#REF!</definedName>
    <definedName name="wagdobf" localSheetId="0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</definedNames>
  <calcPr calcId="145621"/>
</workbook>
</file>

<file path=xl/calcChain.xml><?xml version="1.0" encoding="utf-8"?>
<calcChain xmlns="http://schemas.openxmlformats.org/spreadsheetml/2006/main">
  <c r="G17" i="9" l="1"/>
  <c r="G12" i="9"/>
  <c r="J35" i="17" l="1"/>
  <c r="J36" i="17"/>
  <c r="J34" i="17"/>
  <c r="J33" i="17"/>
  <c r="J37" i="17"/>
  <c r="J38" i="17"/>
  <c r="J39" i="17"/>
  <c r="J41" i="17"/>
  <c r="J42" i="17"/>
  <c r="J43" i="17"/>
  <c r="D45" i="17"/>
  <c r="E45" i="17"/>
  <c r="F45" i="17"/>
  <c r="F46" i="17" s="1"/>
  <c r="G45" i="17"/>
  <c r="G46" i="17" s="1"/>
  <c r="H45" i="17"/>
  <c r="E46" i="17"/>
  <c r="H46" i="17"/>
  <c r="J44" i="17"/>
  <c r="AB541" i="30" l="1"/>
  <c r="AC510" i="30"/>
  <c r="AB510" i="30"/>
  <c r="AC479" i="30"/>
  <c r="AB479" i="30"/>
  <c r="AC448" i="30"/>
  <c r="AB448" i="30"/>
  <c r="AC417" i="30"/>
  <c r="AB417" i="30"/>
  <c r="AC386" i="30"/>
  <c r="AB386" i="30"/>
  <c r="Q12" i="30"/>
  <c r="T12" i="30"/>
  <c r="U12" i="30"/>
  <c r="Y10" i="30" s="1"/>
  <c r="P12" i="30"/>
  <c r="Y11" i="30"/>
  <c r="R11" i="30" s="1"/>
  <c r="Y8" i="30"/>
  <c r="S8" i="30" s="1"/>
  <c r="Y7" i="30"/>
  <c r="S7" i="30" s="1"/>
  <c r="S10" i="30" l="1"/>
  <c r="R10" i="30"/>
  <c r="Y5" i="30"/>
  <c r="Y9" i="30"/>
  <c r="Y6" i="30"/>
  <c r="R7" i="30"/>
  <c r="AB381" i="30" s="1"/>
  <c r="AC412" i="30" s="1"/>
  <c r="AD412" i="30" s="1"/>
  <c r="AE412" i="30" s="1"/>
  <c r="R8" i="30"/>
  <c r="S11" i="30"/>
  <c r="AC447" i="30" s="1"/>
  <c r="AJ583" i="30"/>
  <c r="AK552" i="30"/>
  <c r="AI522" i="30"/>
  <c r="AI531" i="30" s="1"/>
  <c r="AI553" i="30" s="1"/>
  <c r="AI562" i="30" s="1"/>
  <c r="AI584" i="30" s="1"/>
  <c r="AI593" i="30" s="1"/>
  <c r="AI432" i="30"/>
  <c r="AI454" i="30" s="1"/>
  <c r="AI463" i="30" s="1"/>
  <c r="AI485" i="30" s="1"/>
  <c r="AI494" i="30" s="1"/>
  <c r="AI516" i="30" s="1"/>
  <c r="AI525" i="30" s="1"/>
  <c r="AI547" i="30" s="1"/>
  <c r="AI556" i="30" s="1"/>
  <c r="AI578" i="30" s="1"/>
  <c r="AI587" i="30" s="1"/>
  <c r="AI424" i="30"/>
  <c r="AI433" i="30" s="1"/>
  <c r="AI455" i="30" s="1"/>
  <c r="AI464" i="30" s="1"/>
  <c r="AI486" i="30" s="1"/>
  <c r="AI495" i="30" s="1"/>
  <c r="AI517" i="30" s="1"/>
  <c r="AI526" i="30" s="1"/>
  <c r="AI548" i="30" s="1"/>
  <c r="AI557" i="30" s="1"/>
  <c r="AI579" i="30" s="1"/>
  <c r="AI588" i="30" s="1"/>
  <c r="AI425" i="30"/>
  <c r="AI434" i="30" s="1"/>
  <c r="AI456" i="30" s="1"/>
  <c r="AI465" i="30" s="1"/>
  <c r="AI487" i="30" s="1"/>
  <c r="AI496" i="30" s="1"/>
  <c r="AI518" i="30" s="1"/>
  <c r="AI527" i="30" s="1"/>
  <c r="AI549" i="30" s="1"/>
  <c r="AI558" i="30" s="1"/>
  <c r="AI580" i="30" s="1"/>
  <c r="AI589" i="30" s="1"/>
  <c r="AI426" i="30"/>
  <c r="AI435" i="30" s="1"/>
  <c r="AI457" i="30" s="1"/>
  <c r="AI466" i="30" s="1"/>
  <c r="AI488" i="30" s="1"/>
  <c r="AI497" i="30" s="1"/>
  <c r="AI519" i="30" s="1"/>
  <c r="AI528" i="30" s="1"/>
  <c r="AI550" i="30" s="1"/>
  <c r="AI559" i="30" s="1"/>
  <c r="AI581" i="30" s="1"/>
  <c r="AI590" i="30" s="1"/>
  <c r="AI427" i="30"/>
  <c r="AI436" i="30" s="1"/>
  <c r="AI458" i="30" s="1"/>
  <c r="AI467" i="30" s="1"/>
  <c r="AI489" i="30" s="1"/>
  <c r="AI498" i="30" s="1"/>
  <c r="AI520" i="30" s="1"/>
  <c r="AI529" i="30" s="1"/>
  <c r="AI551" i="30" s="1"/>
  <c r="AI560" i="30" s="1"/>
  <c r="AI582" i="30" s="1"/>
  <c r="AI591" i="30" s="1"/>
  <c r="AI428" i="30"/>
  <c r="AI437" i="30" s="1"/>
  <c r="AI459" i="30" s="1"/>
  <c r="AI468" i="30" s="1"/>
  <c r="AI490" i="30" s="1"/>
  <c r="AI499" i="30" s="1"/>
  <c r="AI521" i="30" s="1"/>
  <c r="AI530" i="30" s="1"/>
  <c r="AI552" i="30" s="1"/>
  <c r="AI561" i="30" s="1"/>
  <c r="AI583" i="30" s="1"/>
  <c r="AI592" i="30" s="1"/>
  <c r="AI429" i="30"/>
  <c r="AI438" i="30" s="1"/>
  <c r="AI460" i="30" s="1"/>
  <c r="AI469" i="30" s="1"/>
  <c r="AI491" i="30" s="1"/>
  <c r="AI500" i="30" s="1"/>
  <c r="AI423" i="30"/>
  <c r="AC504" i="30"/>
  <c r="AB535" i="30" s="1"/>
  <c r="AC505" i="30"/>
  <c r="AC506" i="30"/>
  <c r="AB537" i="30" s="1"/>
  <c r="AC507" i="30"/>
  <c r="AC508" i="30"/>
  <c r="AB539" i="30" s="1"/>
  <c r="AC509" i="30"/>
  <c r="AB540" i="30" s="1"/>
  <c r="AC473" i="30"/>
  <c r="AB504" i="30" s="1"/>
  <c r="AC474" i="30"/>
  <c r="AB505" i="30" s="1"/>
  <c r="AC475" i="30"/>
  <c r="AC476" i="30"/>
  <c r="AB507" i="30" s="1"/>
  <c r="AC477" i="30"/>
  <c r="AB508" i="30" s="1"/>
  <c r="AC478" i="30"/>
  <c r="AB509" i="30" s="1"/>
  <c r="AC443" i="30"/>
  <c r="AB474" i="30" s="1"/>
  <c r="AC444" i="30"/>
  <c r="AB475" i="30" s="1"/>
  <c r="AC446" i="30"/>
  <c r="AB411" i="30"/>
  <c r="AB412" i="30"/>
  <c r="AB413" i="30"/>
  <c r="AB414" i="30"/>
  <c r="AB415" i="30"/>
  <c r="AB416" i="30"/>
  <c r="AC380" i="30"/>
  <c r="AC381" i="30"/>
  <c r="AC382" i="30"/>
  <c r="AC383" i="30"/>
  <c r="AC384" i="30"/>
  <c r="AC385" i="30"/>
  <c r="AB382" i="30"/>
  <c r="AC413" i="30" s="1"/>
  <c r="AB384" i="30"/>
  <c r="AB385" i="30"/>
  <c r="AC416" i="30" s="1"/>
  <c r="AD416" i="30" s="1"/>
  <c r="AA380" i="30"/>
  <c r="AA411" i="30" s="1"/>
  <c r="AA442" i="30" s="1"/>
  <c r="AA473" i="30" s="1"/>
  <c r="AA504" i="30" s="1"/>
  <c r="AA535" i="30" s="1"/>
  <c r="AA566" i="30" s="1"/>
  <c r="AA381" i="30"/>
  <c r="AA412" i="30" s="1"/>
  <c r="AA443" i="30" s="1"/>
  <c r="AA474" i="30" s="1"/>
  <c r="AA505" i="30" s="1"/>
  <c r="AA536" i="30" s="1"/>
  <c r="AA567" i="30" s="1"/>
  <c r="AA382" i="30"/>
  <c r="AA413" i="30" s="1"/>
  <c r="AA444" i="30" s="1"/>
  <c r="AA475" i="30" s="1"/>
  <c r="AA506" i="30" s="1"/>
  <c r="AA537" i="30" s="1"/>
  <c r="AA568" i="30" s="1"/>
  <c r="AA385" i="30"/>
  <c r="AA416" i="30" s="1"/>
  <c r="AA447" i="30" s="1"/>
  <c r="AA478" i="30" s="1"/>
  <c r="AA509" i="30" s="1"/>
  <c r="AA540" i="30" s="1"/>
  <c r="AA571" i="30" s="1"/>
  <c r="AK396" i="30"/>
  <c r="AH397" i="30"/>
  <c r="AK397" i="30"/>
  <c r="AH398" i="30"/>
  <c r="AK398" i="30"/>
  <c r="AH396" i="30"/>
  <c r="S358" i="30"/>
  <c r="AH458" i="30" s="1"/>
  <c r="AG489" i="30" s="1"/>
  <c r="T358" i="30"/>
  <c r="AH489" i="30" s="1"/>
  <c r="AG520" i="30" s="1"/>
  <c r="U358" i="30"/>
  <c r="AH520" i="30" s="1"/>
  <c r="AG551" i="30" s="1"/>
  <c r="V358" i="30"/>
  <c r="AH551" i="30" s="1"/>
  <c r="AG582" i="30" s="1"/>
  <c r="W358" i="30"/>
  <c r="AH582" i="30" s="1"/>
  <c r="AG591" i="30" s="1"/>
  <c r="S359" i="30"/>
  <c r="AK458" i="30" s="1"/>
  <c r="AJ489" i="30" s="1"/>
  <c r="T359" i="30"/>
  <c r="AK489" i="30" s="1"/>
  <c r="AJ520" i="30" s="1"/>
  <c r="U359" i="30"/>
  <c r="AK520" i="30" s="1"/>
  <c r="AJ551" i="30" s="1"/>
  <c r="S362" i="30"/>
  <c r="AH459" i="30" s="1"/>
  <c r="AG490" i="30" s="1"/>
  <c r="T362" i="30"/>
  <c r="AH490" i="30" s="1"/>
  <c r="AG521" i="30" s="1"/>
  <c r="U362" i="30"/>
  <c r="AH521" i="30" s="1"/>
  <c r="AG552" i="30" s="1"/>
  <c r="V362" i="30"/>
  <c r="AH552" i="30" s="1"/>
  <c r="AG583" i="30" s="1"/>
  <c r="W362" i="30"/>
  <c r="AH583" i="30" s="1"/>
  <c r="S363" i="30"/>
  <c r="T363" i="30"/>
  <c r="U363" i="30"/>
  <c r="S364" i="30"/>
  <c r="AK459" i="30" s="1"/>
  <c r="T364" i="30"/>
  <c r="AK490" i="30" s="1"/>
  <c r="AJ521" i="30" s="1"/>
  <c r="AN521" i="30" s="1"/>
  <c r="U364" i="30"/>
  <c r="AK521" i="30" s="1"/>
  <c r="AJ552" i="30" s="1"/>
  <c r="S367" i="30"/>
  <c r="AH460" i="30" s="1"/>
  <c r="AG491" i="30" s="1"/>
  <c r="T367" i="30"/>
  <c r="AH491" i="30" s="1"/>
  <c r="AG522" i="30" s="1"/>
  <c r="U367" i="30"/>
  <c r="AH522" i="30" s="1"/>
  <c r="V367" i="30"/>
  <c r="AH553" i="30" s="1"/>
  <c r="AG584" i="30" s="1"/>
  <c r="W367" i="30"/>
  <c r="AH584" i="30" s="1"/>
  <c r="S368" i="30"/>
  <c r="T368" i="30"/>
  <c r="U368" i="30"/>
  <c r="V368" i="30"/>
  <c r="W368" i="30"/>
  <c r="S369" i="30"/>
  <c r="AK460" i="30" s="1"/>
  <c r="AJ491" i="30" s="1"/>
  <c r="T369" i="30"/>
  <c r="AK491" i="30" s="1"/>
  <c r="AJ522" i="30" s="1"/>
  <c r="U369" i="30"/>
  <c r="AK522" i="30" s="1"/>
  <c r="AJ553" i="30" s="1"/>
  <c r="R367" i="30"/>
  <c r="AG398" i="30" s="1"/>
  <c r="AH429" i="30" s="1"/>
  <c r="R368" i="30"/>
  <c r="R369" i="30"/>
  <c r="AJ398" i="30" s="1"/>
  <c r="AK429" i="30" s="1"/>
  <c r="R362" i="30"/>
  <c r="AG397" i="30" s="1"/>
  <c r="AH428" i="30" s="1"/>
  <c r="R363" i="30"/>
  <c r="R364" i="30"/>
  <c r="AJ397" i="30" s="1"/>
  <c r="AK428" i="30" s="1"/>
  <c r="AJ459" i="30" s="1"/>
  <c r="R358" i="30"/>
  <c r="AG396" i="30" s="1"/>
  <c r="AH427" i="30" s="1"/>
  <c r="AG458" i="30" s="1"/>
  <c r="R359" i="30"/>
  <c r="AJ396" i="30" s="1"/>
  <c r="AK427" i="30" s="1"/>
  <c r="P368" i="30"/>
  <c r="P369" i="30"/>
  <c r="AJ429" i="30" s="1"/>
  <c r="P367" i="30"/>
  <c r="AG429" i="30" s="1"/>
  <c r="P363" i="30"/>
  <c r="P364" i="30"/>
  <c r="AJ428" i="30" s="1"/>
  <c r="P362" i="30"/>
  <c r="AG428" i="30" s="1"/>
  <c r="P359" i="30"/>
  <c r="AJ427" i="30" s="1"/>
  <c r="P358" i="30"/>
  <c r="AG427" i="30" s="1"/>
  <c r="S353" i="30"/>
  <c r="T353" i="30"/>
  <c r="U353" i="30"/>
  <c r="AH519" i="30" s="1"/>
  <c r="V353" i="30"/>
  <c r="W353" i="30"/>
  <c r="S354" i="30"/>
  <c r="T354" i="30"/>
  <c r="U354" i="30"/>
  <c r="S355" i="30"/>
  <c r="T355" i="30"/>
  <c r="U355" i="30"/>
  <c r="R354" i="30"/>
  <c r="R355" i="30"/>
  <c r="R353" i="30"/>
  <c r="P355" i="30"/>
  <c r="P354" i="30"/>
  <c r="P353" i="30"/>
  <c r="R349" i="30"/>
  <c r="S349" i="30"/>
  <c r="T349" i="30"/>
  <c r="U349" i="30"/>
  <c r="R350" i="30"/>
  <c r="S350" i="30"/>
  <c r="T350" i="30"/>
  <c r="U350" i="30"/>
  <c r="S348" i="30"/>
  <c r="T348" i="30"/>
  <c r="U348" i="30"/>
  <c r="AH518" i="30" s="1"/>
  <c r="V348" i="30"/>
  <c r="W348" i="30"/>
  <c r="P350" i="30"/>
  <c r="P349" i="30"/>
  <c r="S345" i="30"/>
  <c r="T345" i="30"/>
  <c r="U345" i="30"/>
  <c r="R345" i="30"/>
  <c r="P345" i="30"/>
  <c r="S344" i="30"/>
  <c r="T344" i="30"/>
  <c r="U344" i="30"/>
  <c r="AH517" i="30" s="1"/>
  <c r="R341" i="30"/>
  <c r="S341" i="30"/>
  <c r="T341" i="30"/>
  <c r="U341" i="30"/>
  <c r="S340" i="30"/>
  <c r="T340" i="30"/>
  <c r="U340" i="30"/>
  <c r="P341" i="30"/>
  <c r="S336" i="30"/>
  <c r="T336" i="30"/>
  <c r="U336" i="30"/>
  <c r="R336" i="30"/>
  <c r="W335" i="30"/>
  <c r="V335" i="30"/>
  <c r="E28" i="18"/>
  <c r="C306" i="30"/>
  <c r="D306" i="30"/>
  <c r="C307" i="30"/>
  <c r="D307" i="30"/>
  <c r="E307" i="30"/>
  <c r="C308" i="30"/>
  <c r="D308" i="30"/>
  <c r="E308" i="30"/>
  <c r="C309" i="30"/>
  <c r="D309" i="30"/>
  <c r="E309" i="30"/>
  <c r="C310" i="30"/>
  <c r="D310" i="30"/>
  <c r="E310" i="30"/>
  <c r="C311" i="30"/>
  <c r="D311" i="30"/>
  <c r="E311" i="30"/>
  <c r="C312" i="30"/>
  <c r="D312" i="30"/>
  <c r="E312" i="30"/>
  <c r="C313" i="30"/>
  <c r="D313" i="30"/>
  <c r="E313" i="30"/>
  <c r="C314" i="30"/>
  <c r="D314" i="30"/>
  <c r="E314" i="30"/>
  <c r="C315" i="30"/>
  <c r="D315" i="30"/>
  <c r="D316" i="30" s="1"/>
  <c r="E315" i="30"/>
  <c r="B307" i="30"/>
  <c r="B308" i="30"/>
  <c r="B309" i="30"/>
  <c r="B310" i="30"/>
  <c r="B311" i="30"/>
  <c r="B312" i="30"/>
  <c r="B313" i="30"/>
  <c r="B314" i="30"/>
  <c r="B315" i="30"/>
  <c r="B306" i="30"/>
  <c r="C292" i="30"/>
  <c r="D292" i="30"/>
  <c r="C293" i="30"/>
  <c r="D293" i="30"/>
  <c r="E293" i="30"/>
  <c r="C294" i="30"/>
  <c r="D294" i="30"/>
  <c r="E294" i="30"/>
  <c r="C295" i="30"/>
  <c r="D295" i="30"/>
  <c r="E295" i="30"/>
  <c r="C296" i="30"/>
  <c r="D296" i="30"/>
  <c r="E296" i="30"/>
  <c r="C297" i="30"/>
  <c r="D297" i="30"/>
  <c r="E297" i="30"/>
  <c r="C298" i="30"/>
  <c r="D298" i="30"/>
  <c r="E298" i="30"/>
  <c r="C299" i="30"/>
  <c r="D299" i="30"/>
  <c r="E299" i="30"/>
  <c r="C300" i="30"/>
  <c r="D300" i="30"/>
  <c r="E300" i="30"/>
  <c r="C301" i="30"/>
  <c r="D301" i="30"/>
  <c r="E301" i="30"/>
  <c r="B293" i="30"/>
  <c r="B294" i="30"/>
  <c r="B295" i="30"/>
  <c r="B296" i="30"/>
  <c r="B297" i="30"/>
  <c r="B298" i="30"/>
  <c r="B299" i="30"/>
  <c r="B300" i="30"/>
  <c r="B301" i="30"/>
  <c r="B292" i="30"/>
  <c r="K289" i="30"/>
  <c r="D233" i="30"/>
  <c r="D257" i="30" s="1"/>
  <c r="C232" i="30"/>
  <c r="C256" i="30" s="1"/>
  <c r="B231" i="30"/>
  <c r="B247" i="30" s="1"/>
  <c r="C227" i="30"/>
  <c r="D227" i="30"/>
  <c r="E227" i="30"/>
  <c r="F227" i="30"/>
  <c r="G227" i="30"/>
  <c r="H227" i="30"/>
  <c r="B227" i="30"/>
  <c r="C215" i="30"/>
  <c r="D215" i="30"/>
  <c r="E215" i="30"/>
  <c r="F215" i="30"/>
  <c r="G215" i="30"/>
  <c r="H215" i="30"/>
  <c r="C216" i="30"/>
  <c r="D216" i="30"/>
  <c r="E216" i="30"/>
  <c r="F216" i="30"/>
  <c r="G216" i="30"/>
  <c r="H216" i="30"/>
  <c r="B216" i="30"/>
  <c r="B215" i="30"/>
  <c r="E210" i="30"/>
  <c r="F210" i="30"/>
  <c r="G210" i="30"/>
  <c r="H210" i="30"/>
  <c r="D180" i="30"/>
  <c r="E180" i="30"/>
  <c r="F180" i="30"/>
  <c r="G180" i="30"/>
  <c r="H180" i="30"/>
  <c r="D181" i="30"/>
  <c r="E181" i="30"/>
  <c r="F181" i="30"/>
  <c r="G181" i="30"/>
  <c r="H181" i="30"/>
  <c r="E175" i="30"/>
  <c r="F175" i="30"/>
  <c r="G175" i="30"/>
  <c r="H175" i="30"/>
  <c r="C150" i="30"/>
  <c r="D150" i="30"/>
  <c r="E150" i="30"/>
  <c r="F150" i="30"/>
  <c r="G150" i="30"/>
  <c r="C151" i="30"/>
  <c r="D151" i="30"/>
  <c r="E151" i="30"/>
  <c r="F151" i="30"/>
  <c r="G151" i="30"/>
  <c r="H151" i="30"/>
  <c r="C152" i="30"/>
  <c r="D152" i="30"/>
  <c r="E152" i="30"/>
  <c r="F152" i="30"/>
  <c r="G152" i="30"/>
  <c r="H152" i="30"/>
  <c r="C153" i="30"/>
  <c r="D153" i="30"/>
  <c r="E153" i="30"/>
  <c r="F153" i="30"/>
  <c r="G153" i="30"/>
  <c r="H153" i="30"/>
  <c r="C154" i="30"/>
  <c r="D154" i="30"/>
  <c r="E154" i="30"/>
  <c r="F154" i="30"/>
  <c r="G154" i="30"/>
  <c r="H154" i="30"/>
  <c r="E155" i="30"/>
  <c r="F155" i="30"/>
  <c r="G155" i="30"/>
  <c r="H155" i="30"/>
  <c r="E156" i="30"/>
  <c r="F156" i="30"/>
  <c r="G156" i="30"/>
  <c r="H156" i="30"/>
  <c r="C157" i="30"/>
  <c r="D157" i="30"/>
  <c r="E157" i="30"/>
  <c r="F157" i="30"/>
  <c r="G157" i="30"/>
  <c r="H157" i="30"/>
  <c r="C158" i="30"/>
  <c r="D158" i="30"/>
  <c r="E158" i="30"/>
  <c r="F158" i="30"/>
  <c r="G158" i="30"/>
  <c r="H158" i="30"/>
  <c r="C159" i="30"/>
  <c r="D159" i="30"/>
  <c r="E159" i="30"/>
  <c r="F159" i="30"/>
  <c r="G159" i="30"/>
  <c r="H159" i="30"/>
  <c r="B151" i="30"/>
  <c r="B152" i="30"/>
  <c r="B153" i="30"/>
  <c r="B154" i="30"/>
  <c r="B157" i="30"/>
  <c r="B158" i="30"/>
  <c r="B159" i="30"/>
  <c r="B150" i="30"/>
  <c r="M115" i="30"/>
  <c r="M114" i="30"/>
  <c r="M113" i="30"/>
  <c r="M123" i="30"/>
  <c r="M119" i="30"/>
  <c r="M120" i="30"/>
  <c r="M121" i="30"/>
  <c r="M122" i="30"/>
  <c r="M118" i="30"/>
  <c r="L119" i="30"/>
  <c r="L120" i="30"/>
  <c r="L121" i="30"/>
  <c r="L122" i="30"/>
  <c r="L118" i="30"/>
  <c r="H84" i="30"/>
  <c r="H83" i="30"/>
  <c r="H82" i="30"/>
  <c r="H81" i="30"/>
  <c r="H80" i="30"/>
  <c r="H78" i="30"/>
  <c r="H77" i="30"/>
  <c r="H76" i="30"/>
  <c r="H75" i="30"/>
  <c r="H74" i="30"/>
  <c r="H72" i="30"/>
  <c r="G84" i="30"/>
  <c r="G83" i="30"/>
  <c r="G82" i="30"/>
  <c r="G81" i="30"/>
  <c r="G80" i="30"/>
  <c r="G78" i="30"/>
  <c r="G77" i="30"/>
  <c r="G76" i="30"/>
  <c r="G75" i="30"/>
  <c r="G74" i="30"/>
  <c r="G73" i="30"/>
  <c r="G72" i="30"/>
  <c r="F84" i="30"/>
  <c r="F83" i="30"/>
  <c r="F82" i="30"/>
  <c r="F81" i="30"/>
  <c r="F80" i="30"/>
  <c r="F78" i="30"/>
  <c r="F77" i="30"/>
  <c r="F76" i="30"/>
  <c r="F75" i="30"/>
  <c r="F74" i="30"/>
  <c r="F73" i="30"/>
  <c r="F72" i="30"/>
  <c r="E84" i="30"/>
  <c r="E83" i="30"/>
  <c r="E82" i="30"/>
  <c r="E81" i="30"/>
  <c r="E80" i="30"/>
  <c r="E78" i="30"/>
  <c r="E77" i="30"/>
  <c r="E76" i="30"/>
  <c r="E75" i="30"/>
  <c r="E74" i="30"/>
  <c r="E73" i="30"/>
  <c r="E72" i="30"/>
  <c r="D84" i="30"/>
  <c r="D83" i="30"/>
  <c r="D82" i="30"/>
  <c r="D81" i="30"/>
  <c r="D80" i="30"/>
  <c r="Q348" i="30"/>
  <c r="D76" i="30"/>
  <c r="D75" i="30"/>
  <c r="D74" i="30"/>
  <c r="D73" i="30"/>
  <c r="D72" i="30"/>
  <c r="C82" i="30"/>
  <c r="C81" i="30"/>
  <c r="C80" i="30"/>
  <c r="Q344" i="30"/>
  <c r="C76" i="30"/>
  <c r="C75" i="30"/>
  <c r="C74" i="30"/>
  <c r="C73" i="30"/>
  <c r="C72" i="30"/>
  <c r="Q340" i="30"/>
  <c r="B82" i="30"/>
  <c r="B81" i="30"/>
  <c r="B80" i="30"/>
  <c r="B76" i="30"/>
  <c r="B75" i="30"/>
  <c r="B74" i="30"/>
  <c r="B73" i="30"/>
  <c r="B72" i="30"/>
  <c r="H71" i="30"/>
  <c r="H148" i="30" s="1"/>
  <c r="H178" i="30" s="1"/>
  <c r="H184" i="30" s="1"/>
  <c r="H198" i="30" s="1"/>
  <c r="H213" i="30" s="1"/>
  <c r="H219" i="30" s="1"/>
  <c r="H225" i="30" s="1"/>
  <c r="H274" i="30" s="1"/>
  <c r="E289" i="30" s="1"/>
  <c r="J289" i="30" s="1"/>
  <c r="Q349" i="30"/>
  <c r="Q345" i="30"/>
  <c r="Q341" i="30"/>
  <c r="H67" i="30"/>
  <c r="H66" i="30"/>
  <c r="H53" i="30"/>
  <c r="H51" i="30"/>
  <c r="H52" i="30"/>
  <c r="H48" i="30"/>
  <c r="H49" i="30"/>
  <c r="H50" i="30"/>
  <c r="H47" i="30"/>
  <c r="H45" i="30"/>
  <c r="H46" i="30"/>
  <c r="G53" i="30"/>
  <c r="G49" i="30"/>
  <c r="G50" i="30"/>
  <c r="G51" i="30"/>
  <c r="G93" i="30" s="1"/>
  <c r="G193" i="30" s="1"/>
  <c r="G52" i="30"/>
  <c r="G45" i="30"/>
  <c r="G46" i="30"/>
  <c r="G47" i="30"/>
  <c r="G48" i="30"/>
  <c r="G44" i="30"/>
  <c r="F50" i="30"/>
  <c r="F51" i="30"/>
  <c r="F52" i="30"/>
  <c r="F53" i="30"/>
  <c r="F45" i="30"/>
  <c r="F46" i="30"/>
  <c r="F47" i="30"/>
  <c r="F48" i="30"/>
  <c r="F49" i="30"/>
  <c r="F44" i="30"/>
  <c r="E51" i="30"/>
  <c r="E52" i="30"/>
  <c r="E53" i="30"/>
  <c r="E46" i="30"/>
  <c r="E88" i="30" s="1"/>
  <c r="E188" i="30" s="1"/>
  <c r="E47" i="30"/>
  <c r="E48" i="30"/>
  <c r="E49" i="30"/>
  <c r="E50" i="30"/>
  <c r="E92" i="30" s="1"/>
  <c r="E192" i="30" s="1"/>
  <c r="E45" i="30"/>
  <c r="E44" i="30"/>
  <c r="D45" i="30"/>
  <c r="D44" i="30"/>
  <c r="C45" i="30"/>
  <c r="C44" i="30"/>
  <c r="B48" i="30"/>
  <c r="B47" i="30"/>
  <c r="B46" i="30"/>
  <c r="B45" i="30"/>
  <c r="B44" i="30"/>
  <c r="D53" i="30"/>
  <c r="D52" i="30"/>
  <c r="D51" i="30"/>
  <c r="D50" i="30"/>
  <c r="D49" i="30"/>
  <c r="D48" i="30"/>
  <c r="D47" i="30"/>
  <c r="D46" i="30"/>
  <c r="C53" i="30"/>
  <c r="C52" i="30"/>
  <c r="C51" i="30"/>
  <c r="C50" i="30"/>
  <c r="C49" i="30"/>
  <c r="C48" i="30"/>
  <c r="C47" i="30"/>
  <c r="C46" i="30"/>
  <c r="B53" i="30"/>
  <c r="B95" i="30" s="1"/>
  <c r="B195" i="30" s="1"/>
  <c r="B52" i="30"/>
  <c r="B51" i="30"/>
  <c r="B50" i="30"/>
  <c r="B49" i="30"/>
  <c r="F36" i="30"/>
  <c r="F37" i="30"/>
  <c r="F35" i="30"/>
  <c r="F31" i="30"/>
  <c r="F32" i="30"/>
  <c r="F30" i="30"/>
  <c r="F28" i="30"/>
  <c r="B37" i="30"/>
  <c r="B35" i="30"/>
  <c r="B36" i="30"/>
  <c r="B34" i="30"/>
  <c r="B31" i="30"/>
  <c r="B32" i="30"/>
  <c r="B30" i="30"/>
  <c r="B29" i="30"/>
  <c r="B28" i="30"/>
  <c r="S9" i="30" l="1"/>
  <c r="AC445" i="30" s="1"/>
  <c r="AB476" i="30" s="1"/>
  <c r="AD476" i="30" s="1"/>
  <c r="AE476" i="30" s="1"/>
  <c r="R9" i="30"/>
  <c r="AB383" i="30" s="1"/>
  <c r="AC414" i="30" s="1"/>
  <c r="AD414" i="30" s="1"/>
  <c r="AE414" i="30" s="1"/>
  <c r="S5" i="30"/>
  <c r="R5" i="30"/>
  <c r="R12" i="30" s="1"/>
  <c r="S6" i="30"/>
  <c r="AC442" i="30" s="1"/>
  <c r="AB473" i="30" s="1"/>
  <c r="AD473" i="30" s="1"/>
  <c r="AE473" i="30" s="1"/>
  <c r="R6" i="30"/>
  <c r="AB380" i="30" s="1"/>
  <c r="AD380" i="30" s="1"/>
  <c r="AE380" i="30" s="1"/>
  <c r="AD504" i="30"/>
  <c r="AE504" i="30" s="1"/>
  <c r="B93" i="30"/>
  <c r="B193" i="30" s="1"/>
  <c r="E90" i="30"/>
  <c r="E190" i="30" s="1"/>
  <c r="E86" i="30"/>
  <c r="E186" i="30" s="1"/>
  <c r="AN583" i="30"/>
  <c r="AG592" i="30"/>
  <c r="AG593" i="30"/>
  <c r="AJ561" i="30"/>
  <c r="AO552" i="30"/>
  <c r="AG561" i="30"/>
  <c r="AN551" i="30"/>
  <c r="AN552" i="30"/>
  <c r="AG531" i="30"/>
  <c r="AG553" i="30"/>
  <c r="AN553" i="30" s="1"/>
  <c r="AG560" i="30"/>
  <c r="AM552" i="30"/>
  <c r="AG529" i="30"/>
  <c r="AN522" i="30"/>
  <c r="AO521" i="30"/>
  <c r="AN530" i="30" s="1"/>
  <c r="AG530" i="30"/>
  <c r="AJ529" i="30"/>
  <c r="AO520" i="30"/>
  <c r="AO522" i="30"/>
  <c r="AJ531" i="30"/>
  <c r="AN520" i="30"/>
  <c r="AJ530" i="30"/>
  <c r="AN491" i="30"/>
  <c r="AG498" i="30"/>
  <c r="AG500" i="30"/>
  <c r="AJ500" i="30"/>
  <c r="AO491" i="30"/>
  <c r="AG499" i="30"/>
  <c r="AO490" i="30"/>
  <c r="AN489" i="30"/>
  <c r="AJ498" i="30"/>
  <c r="AO489" i="30"/>
  <c r="AJ468" i="30"/>
  <c r="AD505" i="30"/>
  <c r="AE505" i="30" s="1"/>
  <c r="AJ490" i="30"/>
  <c r="AJ499" i="30" s="1"/>
  <c r="AG467" i="30"/>
  <c r="AG436" i="30"/>
  <c r="AJ436" i="30"/>
  <c r="AG437" i="30"/>
  <c r="AO458" i="30"/>
  <c r="AO460" i="30"/>
  <c r="AN427" i="30"/>
  <c r="AG459" i="30"/>
  <c r="AN459" i="30" s="1"/>
  <c r="AJ438" i="30"/>
  <c r="AJ460" i="30"/>
  <c r="AJ469" i="30" s="1"/>
  <c r="AO459" i="30"/>
  <c r="AG438" i="30"/>
  <c r="AG460" i="30"/>
  <c r="AG469" i="30" s="1"/>
  <c r="AJ458" i="30"/>
  <c r="AJ467" i="30" s="1"/>
  <c r="AO428" i="30"/>
  <c r="AJ437" i="30"/>
  <c r="AO429" i="30"/>
  <c r="AD475" i="30"/>
  <c r="AE475" i="30" s="1"/>
  <c r="AN429" i="30"/>
  <c r="AN428" i="30"/>
  <c r="AO427" i="30"/>
  <c r="AJ406" i="30"/>
  <c r="AG406" i="30"/>
  <c r="AJ405" i="30"/>
  <c r="AJ407" i="30"/>
  <c r="AG407" i="30"/>
  <c r="AG405" i="30"/>
  <c r="AF393" i="30"/>
  <c r="AF398" i="30"/>
  <c r="AD385" i="30"/>
  <c r="AE385" i="30" s="1"/>
  <c r="AD381" i="30"/>
  <c r="AE381" i="30" s="1"/>
  <c r="AN398" i="30"/>
  <c r="AO398" i="30"/>
  <c r="AM398" i="30"/>
  <c r="AO397" i="30"/>
  <c r="AM397" i="30"/>
  <c r="AM396" i="30"/>
  <c r="AO396" i="30"/>
  <c r="AN396" i="30"/>
  <c r="AN397" i="30"/>
  <c r="AF395" i="30"/>
  <c r="AF394" i="30"/>
  <c r="AB443" i="30"/>
  <c r="AD443" i="30" s="1"/>
  <c r="AE443" i="30" s="1"/>
  <c r="AD384" i="30"/>
  <c r="AE384" i="30" s="1"/>
  <c r="AD382" i="30"/>
  <c r="AE382" i="30" s="1"/>
  <c r="AD413" i="30"/>
  <c r="AE413" i="30" s="1"/>
  <c r="AB444" i="30"/>
  <c r="AD444" i="30" s="1"/>
  <c r="AE444" i="30" s="1"/>
  <c r="AD507" i="30"/>
  <c r="AE507" i="30" s="1"/>
  <c r="AB506" i="30"/>
  <c r="AD506" i="30" s="1"/>
  <c r="AE506" i="30" s="1"/>
  <c r="AB536" i="30"/>
  <c r="AB447" i="30"/>
  <c r="AD447" i="30" s="1"/>
  <c r="AE447" i="30" s="1"/>
  <c r="AD474" i="30"/>
  <c r="AE474" i="30" s="1"/>
  <c r="AB477" i="30"/>
  <c r="AD477" i="30" s="1"/>
  <c r="AE477" i="30" s="1"/>
  <c r="AB538" i="30"/>
  <c r="AB445" i="30"/>
  <c r="AB478" i="30"/>
  <c r="AD478" i="30" s="1"/>
  <c r="AE478" i="30" s="1"/>
  <c r="AD509" i="30"/>
  <c r="AE509" i="30" s="1"/>
  <c r="AD508" i="30"/>
  <c r="AE508" i="30" s="1"/>
  <c r="AC415" i="30"/>
  <c r="AC411" i="30"/>
  <c r="Q374" i="30"/>
  <c r="Q373" i="30"/>
  <c r="R374" i="30"/>
  <c r="S373" i="30"/>
  <c r="P373" i="30"/>
  <c r="U372" i="30"/>
  <c r="R373" i="30"/>
  <c r="T374" i="30"/>
  <c r="T372" i="30"/>
  <c r="U373" i="30"/>
  <c r="S374" i="30"/>
  <c r="Q372" i="30"/>
  <c r="S372" i="30"/>
  <c r="T373" i="30"/>
  <c r="P374" i="30"/>
  <c r="U374" i="30"/>
  <c r="O366" i="30"/>
  <c r="F292" i="30"/>
  <c r="D241" i="30"/>
  <c r="F299" i="30"/>
  <c r="F295" i="30"/>
  <c r="C316" i="30"/>
  <c r="E316" i="30"/>
  <c r="D249" i="30"/>
  <c r="E319" i="30"/>
  <c r="F294" i="30"/>
  <c r="E222" i="30"/>
  <c r="E277" i="30" s="1"/>
  <c r="F301" i="30"/>
  <c r="F297" i="30"/>
  <c r="F293" i="30"/>
  <c r="E304" i="30"/>
  <c r="G222" i="30"/>
  <c r="G277" i="30" s="1"/>
  <c r="E221" i="30"/>
  <c r="E276" i="30" s="1"/>
  <c r="H222" i="30"/>
  <c r="H277" i="30" s="1"/>
  <c r="F221" i="30"/>
  <c r="F276" i="30" s="1"/>
  <c r="F300" i="30"/>
  <c r="F296" i="30"/>
  <c r="F298" i="30"/>
  <c r="G221" i="30"/>
  <c r="G276" i="30" s="1"/>
  <c r="D222" i="30"/>
  <c r="D277" i="30" s="1"/>
  <c r="F222" i="30"/>
  <c r="F277" i="30" s="1"/>
  <c r="H221" i="30"/>
  <c r="H276" i="30" s="1"/>
  <c r="D221" i="30"/>
  <c r="D276" i="30" s="1"/>
  <c r="C240" i="30"/>
  <c r="H92" i="30"/>
  <c r="H192" i="30" s="1"/>
  <c r="B255" i="30"/>
  <c r="B239" i="30"/>
  <c r="C248" i="30"/>
  <c r="C95" i="30"/>
  <c r="C195" i="30" s="1"/>
  <c r="B89" i="30"/>
  <c r="B189" i="30" s="1"/>
  <c r="H88" i="30"/>
  <c r="H188" i="30" s="1"/>
  <c r="H95" i="30"/>
  <c r="H195" i="30" s="1"/>
  <c r="F174" i="30"/>
  <c r="H173" i="30"/>
  <c r="D173" i="30"/>
  <c r="F172" i="30"/>
  <c r="H171" i="30"/>
  <c r="G89" i="30"/>
  <c r="G189" i="30" s="1"/>
  <c r="C104" i="30"/>
  <c r="B86" i="30"/>
  <c r="E91" i="30"/>
  <c r="E191" i="30" s="1"/>
  <c r="H104" i="30"/>
  <c r="B174" i="30"/>
  <c r="B167" i="30"/>
  <c r="D95" i="30"/>
  <c r="D195" i="30" s="1"/>
  <c r="F86" i="30"/>
  <c r="F186" i="30" s="1"/>
  <c r="F93" i="30"/>
  <c r="F193" i="30" s="1"/>
  <c r="G104" i="30"/>
  <c r="C89" i="30"/>
  <c r="C189" i="30" s="1"/>
  <c r="E94" i="30"/>
  <c r="E194" i="30" s="1"/>
  <c r="F90" i="30"/>
  <c r="F190" i="30" s="1"/>
  <c r="H89" i="30"/>
  <c r="H189" i="30" s="1"/>
  <c r="I157" i="30"/>
  <c r="I153" i="30"/>
  <c r="G174" i="30"/>
  <c r="E174" i="30"/>
  <c r="G172" i="30"/>
  <c r="C173" i="30"/>
  <c r="E171" i="30"/>
  <c r="G171" i="30"/>
  <c r="E169" i="30"/>
  <c r="G169" i="30"/>
  <c r="C168" i="30"/>
  <c r="E168" i="30"/>
  <c r="G166" i="30"/>
  <c r="D166" i="30"/>
  <c r="D86" i="30"/>
  <c r="D186" i="30" s="1"/>
  <c r="F88" i="30"/>
  <c r="F188" i="30" s="1"/>
  <c r="H91" i="30"/>
  <c r="H191" i="30" s="1"/>
  <c r="I82" i="30"/>
  <c r="H90" i="30"/>
  <c r="H190" i="30" s="1"/>
  <c r="H204" i="30" s="1"/>
  <c r="F170" i="30"/>
  <c r="H169" i="30"/>
  <c r="D169" i="30"/>
  <c r="F168" i="30"/>
  <c r="H167" i="30"/>
  <c r="D167" i="30"/>
  <c r="F167" i="30"/>
  <c r="B166" i="30"/>
  <c r="F89" i="30"/>
  <c r="F189" i="30" s="1"/>
  <c r="B173" i="30"/>
  <c r="B169" i="30"/>
  <c r="E166" i="30"/>
  <c r="I159" i="30"/>
  <c r="I151" i="30"/>
  <c r="G173" i="30"/>
  <c r="E172" i="30"/>
  <c r="E170" i="30"/>
  <c r="C169" i="30"/>
  <c r="G167" i="30"/>
  <c r="I152" i="30"/>
  <c r="H174" i="30"/>
  <c r="F173" i="30"/>
  <c r="H170" i="30"/>
  <c r="H168" i="30"/>
  <c r="D168" i="30"/>
  <c r="C166" i="30"/>
  <c r="C93" i="30"/>
  <c r="C193" i="30" s="1"/>
  <c r="D89" i="30"/>
  <c r="D189" i="30" s="1"/>
  <c r="D93" i="30"/>
  <c r="D193" i="30" s="1"/>
  <c r="B87" i="30"/>
  <c r="B187" i="30" s="1"/>
  <c r="C86" i="30"/>
  <c r="C186" i="30" s="1"/>
  <c r="F95" i="30"/>
  <c r="F195" i="30" s="1"/>
  <c r="G86" i="30"/>
  <c r="G186" i="30" s="1"/>
  <c r="G87" i="30"/>
  <c r="G187" i="30" s="1"/>
  <c r="G91" i="30"/>
  <c r="G191" i="30" s="1"/>
  <c r="H94" i="30"/>
  <c r="H194" i="30" s="1"/>
  <c r="H109" i="30"/>
  <c r="E104" i="30"/>
  <c r="D94" i="30"/>
  <c r="D194" i="30" s="1"/>
  <c r="H163" i="30"/>
  <c r="C174" i="30"/>
  <c r="E173" i="30"/>
  <c r="G170" i="30"/>
  <c r="G168" i="30"/>
  <c r="E167" i="30"/>
  <c r="F166" i="30"/>
  <c r="C167" i="30"/>
  <c r="F91" i="30"/>
  <c r="F191" i="30" s="1"/>
  <c r="I150" i="30"/>
  <c r="D174" i="30"/>
  <c r="H172" i="30"/>
  <c r="F171" i="30"/>
  <c r="F169" i="30"/>
  <c r="C94" i="30"/>
  <c r="C194" i="30" s="1"/>
  <c r="E89" i="30"/>
  <c r="E189" i="30" s="1"/>
  <c r="F94" i="30"/>
  <c r="F194" i="30" s="1"/>
  <c r="F208" i="30" s="1"/>
  <c r="G94" i="30"/>
  <c r="G194" i="30" s="1"/>
  <c r="G208" i="30" s="1"/>
  <c r="H93" i="30"/>
  <c r="H193" i="30" s="1"/>
  <c r="I158" i="30"/>
  <c r="I154" i="30"/>
  <c r="B168" i="30"/>
  <c r="I80" i="30"/>
  <c r="C90" i="30"/>
  <c r="C190" i="30" s="1"/>
  <c r="E93" i="30"/>
  <c r="E193" i="30" s="1"/>
  <c r="G90" i="30"/>
  <c r="G190" i="30" s="1"/>
  <c r="G95" i="30"/>
  <c r="G195" i="30" s="1"/>
  <c r="F104" i="30"/>
  <c r="I72" i="30"/>
  <c r="I76" i="30"/>
  <c r="B94" i="30"/>
  <c r="B194" i="30" s="1"/>
  <c r="B104" i="30"/>
  <c r="I75" i="30"/>
  <c r="D88" i="30"/>
  <c r="D188" i="30" s="1"/>
  <c r="E87" i="30"/>
  <c r="E187" i="30" s="1"/>
  <c r="H108" i="30"/>
  <c r="C88" i="30"/>
  <c r="C188" i="30" s="1"/>
  <c r="D87" i="30"/>
  <c r="D187" i="30" s="1"/>
  <c r="E95" i="30"/>
  <c r="E195" i="30" s="1"/>
  <c r="F87" i="30"/>
  <c r="F187" i="30" s="1"/>
  <c r="F201" i="30" s="1"/>
  <c r="G88" i="30"/>
  <c r="G188" i="30" s="1"/>
  <c r="G92" i="30"/>
  <c r="G192" i="30" s="1"/>
  <c r="G207" i="30" s="1"/>
  <c r="D104" i="30"/>
  <c r="I74" i="30"/>
  <c r="C87" i="30"/>
  <c r="C187" i="30" s="1"/>
  <c r="D90" i="30"/>
  <c r="D190" i="30" s="1"/>
  <c r="F92" i="30"/>
  <c r="F192" i="30" s="1"/>
  <c r="B90" i="30"/>
  <c r="B190" i="30" s="1"/>
  <c r="I81" i="30"/>
  <c r="B88" i="30"/>
  <c r="B188" i="30" s="1"/>
  <c r="I79" i="30"/>
  <c r="I62" i="30"/>
  <c r="I50" i="30"/>
  <c r="C37" i="30"/>
  <c r="I48" i="30"/>
  <c r="I46" i="30"/>
  <c r="I51" i="30"/>
  <c r="I45" i="30"/>
  <c r="I52" i="30"/>
  <c r="I44" i="30"/>
  <c r="I49" i="30"/>
  <c r="I53" i="30"/>
  <c r="I47" i="30"/>
  <c r="C29" i="30"/>
  <c r="C30" i="30"/>
  <c r="C31" i="30"/>
  <c r="G37" i="30"/>
  <c r="G31" i="30"/>
  <c r="G36" i="30"/>
  <c r="C35" i="30"/>
  <c r="C32" i="30"/>
  <c r="C36" i="30"/>
  <c r="G32" i="30"/>
  <c r="AD383" i="30" l="1"/>
  <c r="AE383" i="30" s="1"/>
  <c r="S12" i="30"/>
  <c r="AD445" i="30"/>
  <c r="AE445" i="30" s="1"/>
  <c r="AG562" i="30"/>
  <c r="AN561" i="30"/>
  <c r="AQ552" i="30"/>
  <c r="AN529" i="30"/>
  <c r="AN531" i="30"/>
  <c r="AN500" i="30"/>
  <c r="AN498" i="30"/>
  <c r="AN490" i="30"/>
  <c r="AN499" i="30"/>
  <c r="AG468" i="30"/>
  <c r="AN437" i="30"/>
  <c r="AN468" i="30"/>
  <c r="AN467" i="30"/>
  <c r="AN436" i="30"/>
  <c r="AN438" i="30"/>
  <c r="AN458" i="30"/>
  <c r="AN460" i="30"/>
  <c r="AN469" i="30" s="1"/>
  <c r="AF403" i="30"/>
  <c r="AF425" i="30"/>
  <c r="AF456" i="30" s="1"/>
  <c r="AF487" i="30" s="1"/>
  <c r="AF402" i="30"/>
  <c r="AF424" i="30"/>
  <c r="AF455" i="30" s="1"/>
  <c r="AF486" i="30" s="1"/>
  <c r="AF404" i="30"/>
  <c r="AF426" i="30"/>
  <c r="AF457" i="30" s="1"/>
  <c r="AF488" i="30" s="1"/>
  <c r="AF407" i="30"/>
  <c r="AF429" i="30"/>
  <c r="AN405" i="30"/>
  <c r="AQ398" i="30"/>
  <c r="AQ396" i="30"/>
  <c r="AN407" i="30"/>
  <c r="AQ397" i="30"/>
  <c r="AN406" i="30"/>
  <c r="AD415" i="30"/>
  <c r="AE415" i="30" s="1"/>
  <c r="AB446" i="30"/>
  <c r="AD446" i="30" s="1"/>
  <c r="AE446" i="30" s="1"/>
  <c r="AD411" i="30"/>
  <c r="AE411" i="30" s="1"/>
  <c r="AB442" i="30"/>
  <c r="AD442" i="30" s="1"/>
  <c r="AE442" i="30" s="1"/>
  <c r="G204" i="30"/>
  <c r="H207" i="30"/>
  <c r="H209" i="30"/>
  <c r="H203" i="30"/>
  <c r="F205" i="30"/>
  <c r="G201" i="30"/>
  <c r="H205" i="30"/>
  <c r="G209" i="30"/>
  <c r="F207" i="30"/>
  <c r="G203" i="30"/>
  <c r="B204" i="30"/>
  <c r="F202" i="30"/>
  <c r="B202" i="30"/>
  <c r="F206" i="30"/>
  <c r="G206" i="30"/>
  <c r="H208" i="30"/>
  <c r="F209" i="30"/>
  <c r="B203" i="30"/>
  <c r="G202" i="30"/>
  <c r="B208" i="30"/>
  <c r="B209" i="30"/>
  <c r="G205" i="30"/>
  <c r="F203" i="30"/>
  <c r="F204" i="30"/>
  <c r="H206" i="30"/>
  <c r="AF497" i="30" l="1"/>
  <c r="AF519" i="30"/>
  <c r="AF495" i="30"/>
  <c r="AF517" i="30"/>
  <c r="AF496" i="30"/>
  <c r="AF518" i="30"/>
  <c r="AF438" i="30"/>
  <c r="AF460" i="30"/>
  <c r="AF469" i="30" l="1"/>
  <c r="AF491" i="30"/>
  <c r="AF500" i="30" l="1"/>
  <c r="AF522" i="30"/>
  <c r="AF531" i="30" l="1"/>
  <c r="AF553" i="30"/>
  <c r="L180" i="31"/>
  <c r="G180" i="31"/>
  <c r="F180" i="31"/>
  <c r="L179" i="31"/>
  <c r="G179" i="31"/>
  <c r="F179" i="31"/>
  <c r="L178" i="31"/>
  <c r="G178" i="31"/>
  <c r="F178" i="31"/>
  <c r="L177" i="31"/>
  <c r="G177" i="31"/>
  <c r="F177" i="31"/>
  <c r="L176" i="31"/>
  <c r="G176" i="31"/>
  <c r="F176" i="31"/>
  <c r="L175" i="31"/>
  <c r="G175" i="31"/>
  <c r="F175" i="31"/>
  <c r="L174" i="31"/>
  <c r="J174" i="31"/>
  <c r="G174" i="31"/>
  <c r="F174" i="31"/>
  <c r="L173" i="31"/>
  <c r="G173" i="31"/>
  <c r="F173" i="31"/>
  <c r="L172" i="31"/>
  <c r="G172" i="31"/>
  <c r="F172" i="31"/>
  <c r="L171" i="31"/>
  <c r="G171" i="31"/>
  <c r="F171" i="31"/>
  <c r="L170" i="31"/>
  <c r="G170" i="31"/>
  <c r="F170" i="31"/>
  <c r="L169" i="31"/>
  <c r="G169" i="31"/>
  <c r="F169" i="31"/>
  <c r="B158" i="31"/>
  <c r="B157" i="31"/>
  <c r="B156" i="31"/>
  <c r="B155" i="31"/>
  <c r="B154" i="31"/>
  <c r="B153" i="31"/>
  <c r="B152" i="31"/>
  <c r="B151" i="31"/>
  <c r="B150" i="31"/>
  <c r="B149" i="31"/>
  <c r="C146" i="31"/>
  <c r="C180" i="31" s="1"/>
  <c r="C145" i="31"/>
  <c r="C179" i="31" s="1"/>
  <c r="C144" i="31"/>
  <c r="C178" i="31" s="1"/>
  <c r="C142" i="31"/>
  <c r="C176" i="31" s="1"/>
  <c r="C141" i="31"/>
  <c r="C175" i="31" s="1"/>
  <c r="C140" i="31"/>
  <c r="C174" i="31" s="1"/>
  <c r="C138" i="31"/>
  <c r="C172" i="31" s="1"/>
  <c r="C137" i="31"/>
  <c r="C171" i="31" s="1"/>
  <c r="C136" i="31"/>
  <c r="C170" i="31" s="1"/>
  <c r="C129" i="31"/>
  <c r="C123" i="31"/>
  <c r="C134" i="31"/>
  <c r="C132" i="31"/>
  <c r="C130" i="31"/>
  <c r="J116" i="31"/>
  <c r="C128" i="31"/>
  <c r="C126" i="31"/>
  <c r="C124" i="31"/>
  <c r="J105" i="31"/>
  <c r="J104" i="31"/>
  <c r="J93" i="31"/>
  <c r="J92" i="31"/>
  <c r="J56" i="31"/>
  <c r="J44" i="31"/>
  <c r="J32" i="31"/>
  <c r="J8" i="31"/>
  <c r="AH577" i="30"/>
  <c r="AK577" i="30" s="1"/>
  <c r="AL576" i="30"/>
  <c r="AL583" i="30" s="1"/>
  <c r="AP583" i="30" s="1"/>
  <c r="AB564" i="30"/>
  <c r="AG577" i="30" s="1"/>
  <c r="AJ577" i="30" s="1"/>
  <c r="AH546" i="30"/>
  <c r="AK546" i="30" s="1"/>
  <c r="AO546" i="30" s="1"/>
  <c r="AB533" i="30"/>
  <c r="AG546" i="30" s="1"/>
  <c r="AJ546" i="30" s="1"/>
  <c r="AH515" i="30"/>
  <c r="AK515" i="30" s="1"/>
  <c r="AC503" i="30"/>
  <c r="AB502" i="30"/>
  <c r="AG515" i="30" s="1"/>
  <c r="AJ515" i="30" s="1"/>
  <c r="AH484" i="30"/>
  <c r="AK484" i="30" s="1"/>
  <c r="AM484" i="30" s="1"/>
  <c r="AQ484" i="30" s="1"/>
  <c r="AC472" i="30"/>
  <c r="AB471" i="30"/>
  <c r="AG484" i="30" s="1"/>
  <c r="AJ484" i="30" s="1"/>
  <c r="AK454" i="30"/>
  <c r="AH453" i="30"/>
  <c r="AK453" i="30" s="1"/>
  <c r="AC441" i="30"/>
  <c r="AB472" i="30" s="1"/>
  <c r="AB440" i="30"/>
  <c r="AG453" i="30" s="1"/>
  <c r="AJ453" i="30" s="1"/>
  <c r="AJ424" i="30"/>
  <c r="AH422" i="30"/>
  <c r="AK422" i="30" s="1"/>
  <c r="AG422" i="30"/>
  <c r="AJ422" i="30" s="1"/>
  <c r="AB410" i="30"/>
  <c r="AK395" i="30"/>
  <c r="AG395" i="30"/>
  <c r="AH426" i="30" s="1"/>
  <c r="AK394" i="30"/>
  <c r="AJ394" i="30"/>
  <c r="AK425" i="30" s="1"/>
  <c r="AJ456" i="30" s="1"/>
  <c r="AJ393" i="30"/>
  <c r="AK424" i="30" s="1"/>
  <c r="AJ455" i="30" s="1"/>
  <c r="AH391" i="30"/>
  <c r="AG391" i="30"/>
  <c r="AF390" i="30"/>
  <c r="AF421" i="30" s="1"/>
  <c r="AF452" i="30" s="1"/>
  <c r="AF483" i="30" s="1"/>
  <c r="AF514" i="30" s="1"/>
  <c r="AF545" i="30" s="1"/>
  <c r="AF576" i="30" s="1"/>
  <c r="AC379" i="30"/>
  <c r="AB379" i="30"/>
  <c r="AA379" i="30"/>
  <c r="AA410" i="30" s="1"/>
  <c r="AA441" i="30" s="1"/>
  <c r="AA472" i="30" s="1"/>
  <c r="AA503" i="30" s="1"/>
  <c r="AA534" i="30" s="1"/>
  <c r="AA565" i="30" s="1"/>
  <c r="AK519" i="30"/>
  <c r="AK488" i="30"/>
  <c r="AK457" i="30"/>
  <c r="AJ395" i="30"/>
  <c r="AK426" i="30" s="1"/>
  <c r="AJ457" i="30" s="1"/>
  <c r="AJ426" i="30"/>
  <c r="AH581" i="30"/>
  <c r="AH550" i="30"/>
  <c r="AH457" i="30"/>
  <c r="AG488" i="30" s="1"/>
  <c r="AG426" i="30"/>
  <c r="AK518" i="30"/>
  <c r="AK456" i="30"/>
  <c r="AH580" i="30"/>
  <c r="AH549" i="30"/>
  <c r="AG580" i="30" s="1"/>
  <c r="AH456" i="30"/>
  <c r="AK517" i="30"/>
  <c r="AK486" i="30"/>
  <c r="AK455" i="30"/>
  <c r="AH455" i="30"/>
  <c r="AG486" i="30" s="1"/>
  <c r="AK516" i="30"/>
  <c r="AK485" i="30"/>
  <c r="AJ392" i="30"/>
  <c r="AJ423" i="30"/>
  <c r="AH454" i="30"/>
  <c r="B316" i="30"/>
  <c r="B259" i="30"/>
  <c r="D258" i="30"/>
  <c r="D256" i="30"/>
  <c r="D268" i="30" s="1"/>
  <c r="C258" i="30"/>
  <c r="C255" i="30"/>
  <c r="B258" i="30"/>
  <c r="D250" i="30"/>
  <c r="D248" i="30"/>
  <c r="C268" i="30" s="1"/>
  <c r="C250" i="30"/>
  <c r="D242" i="30"/>
  <c r="D240" i="30"/>
  <c r="B268" i="30" s="1"/>
  <c r="C242" i="30"/>
  <c r="C239" i="30"/>
  <c r="B242" i="30"/>
  <c r="D234" i="30"/>
  <c r="D232" i="30"/>
  <c r="C234" i="30"/>
  <c r="A210" i="30"/>
  <c r="A159" i="30"/>
  <c r="A174" i="30" s="1"/>
  <c r="A195" i="30" s="1"/>
  <c r="A209" i="30" s="1"/>
  <c r="A301" i="30" s="1"/>
  <c r="A315" i="30" s="1"/>
  <c r="A158" i="30"/>
  <c r="A173" i="30" s="1"/>
  <c r="A194" i="30" s="1"/>
  <c r="A208" i="30" s="1"/>
  <c r="A300" i="30" s="1"/>
  <c r="A314" i="30" s="1"/>
  <c r="A157" i="30"/>
  <c r="A172" i="30" s="1"/>
  <c r="A193" i="30" s="1"/>
  <c r="A207" i="30" s="1"/>
  <c r="A299" i="30" s="1"/>
  <c r="A313" i="30" s="1"/>
  <c r="A156" i="30"/>
  <c r="A171" i="30" s="1"/>
  <c r="A192" i="30" s="1"/>
  <c r="A206" i="30" s="1"/>
  <c r="A298" i="30" s="1"/>
  <c r="A312" i="30" s="1"/>
  <c r="A155" i="30"/>
  <c r="A170" i="30" s="1"/>
  <c r="A191" i="30" s="1"/>
  <c r="A205" i="30" s="1"/>
  <c r="A297" i="30" s="1"/>
  <c r="A311" i="30" s="1"/>
  <c r="A154" i="30"/>
  <c r="A169" i="30" s="1"/>
  <c r="A190" i="30" s="1"/>
  <c r="A204" i="30" s="1"/>
  <c r="A296" i="30" s="1"/>
  <c r="A310" i="30" s="1"/>
  <c r="A153" i="30"/>
  <c r="A168" i="30" s="1"/>
  <c r="A189" i="30" s="1"/>
  <c r="A203" i="30" s="1"/>
  <c r="A295" i="30" s="1"/>
  <c r="A309" i="30" s="1"/>
  <c r="A152" i="30"/>
  <c r="A167" i="30" s="1"/>
  <c r="A188" i="30" s="1"/>
  <c r="A202" i="30" s="1"/>
  <c r="A294" i="30" s="1"/>
  <c r="A308" i="30" s="1"/>
  <c r="A151" i="30"/>
  <c r="A166" i="30" s="1"/>
  <c r="A187" i="30" s="1"/>
  <c r="A201" i="30" s="1"/>
  <c r="A293" i="30" s="1"/>
  <c r="A307" i="30" s="1"/>
  <c r="A150" i="30"/>
  <c r="A165" i="30" s="1"/>
  <c r="A186" i="30" s="1"/>
  <c r="A200" i="30" s="1"/>
  <c r="A292" i="30" s="1"/>
  <c r="A306" i="30" s="1"/>
  <c r="A95" i="30"/>
  <c r="A94" i="30"/>
  <c r="A93" i="30"/>
  <c r="A92" i="30"/>
  <c r="A91" i="30"/>
  <c r="A90" i="30"/>
  <c r="A89" i="30"/>
  <c r="A88" i="30"/>
  <c r="A87" i="30"/>
  <c r="A86" i="30"/>
  <c r="I71" i="30"/>
  <c r="I148" i="30" s="1"/>
  <c r="A71" i="30"/>
  <c r="A67" i="30"/>
  <c r="A109" i="30" s="1"/>
  <c r="A143" i="30" s="1"/>
  <c r="A181" i="30" s="1"/>
  <c r="A216" i="30" s="1"/>
  <c r="A66" i="30"/>
  <c r="A108" i="30" s="1"/>
  <c r="A142" i="30" s="1"/>
  <c r="A180" i="30" s="1"/>
  <c r="A215" i="30" s="1"/>
  <c r="A62" i="30"/>
  <c r="A53" i="30"/>
  <c r="A52" i="30"/>
  <c r="A64" i="30" s="1"/>
  <c r="A106" i="30" s="1"/>
  <c r="A51" i="30"/>
  <c r="A50" i="30"/>
  <c r="A78" i="30" s="1"/>
  <c r="A49" i="30"/>
  <c r="A60" i="30" s="1"/>
  <c r="A102" i="30" s="1"/>
  <c r="A48" i="30"/>
  <c r="A76" i="30" s="1"/>
  <c r="A47" i="30"/>
  <c r="A75" i="30" s="1"/>
  <c r="A46" i="30"/>
  <c r="A45" i="30"/>
  <c r="A73" i="30" s="1"/>
  <c r="B186" i="30"/>
  <c r="B201" i="30" s="1"/>
  <c r="A44" i="30"/>
  <c r="A72" i="30" s="1"/>
  <c r="E71" i="30"/>
  <c r="AH395" i="30"/>
  <c r="X18" i="30"/>
  <c r="W18" i="30"/>
  <c r="V18" i="30"/>
  <c r="U18" i="30"/>
  <c r="T18" i="30"/>
  <c r="S18" i="30"/>
  <c r="R18" i="30"/>
  <c r="Q18" i="30"/>
  <c r="P18" i="30"/>
  <c r="AF584" i="30" l="1"/>
  <c r="AF593" i="30" s="1"/>
  <c r="AF562" i="30"/>
  <c r="AG485" i="30"/>
  <c r="AH461" i="30"/>
  <c r="AJ516" i="30"/>
  <c r="AJ486" i="30"/>
  <c r="AJ495" i="30" s="1"/>
  <c r="AO455" i="30"/>
  <c r="AO456" i="30"/>
  <c r="AO457" i="30"/>
  <c r="AO426" i="30"/>
  <c r="AN426" i="30"/>
  <c r="AM394" i="30"/>
  <c r="AN395" i="30"/>
  <c r="AO395" i="30"/>
  <c r="AM395" i="30"/>
  <c r="AQ395" i="30" s="1"/>
  <c r="I178" i="30"/>
  <c r="I219" i="30" s="1"/>
  <c r="E148" i="30"/>
  <c r="AJ404" i="30"/>
  <c r="Q19" i="30"/>
  <c r="U19" i="30"/>
  <c r="A61" i="30"/>
  <c r="A103" i="30" s="1"/>
  <c r="P19" i="30"/>
  <c r="T19" i="30"/>
  <c r="R19" i="30"/>
  <c r="A84" i="30"/>
  <c r="AO577" i="30"/>
  <c r="AM577" i="30"/>
  <c r="AQ577" i="30" s="1"/>
  <c r="AO484" i="30"/>
  <c r="A83" i="30"/>
  <c r="AM546" i="30"/>
  <c r="AQ546" i="30" s="1"/>
  <c r="D269" i="30"/>
  <c r="D270" i="30" s="1"/>
  <c r="E270" i="30" s="1"/>
  <c r="AG589" i="30"/>
  <c r="C127" i="31"/>
  <c r="C139" i="31"/>
  <c r="J34" i="31"/>
  <c r="J35" i="31" s="1"/>
  <c r="J36" i="31" s="1"/>
  <c r="J37" i="31" s="1"/>
  <c r="J38" i="31" s="1"/>
  <c r="J39" i="31" s="1"/>
  <c r="J40" i="31" s="1"/>
  <c r="J41" i="31" s="1"/>
  <c r="J42" i="31" s="1"/>
  <c r="J43" i="31" s="1"/>
  <c r="C131" i="31"/>
  <c r="C135" i="31"/>
  <c r="C143" i="31"/>
  <c r="J33" i="31"/>
  <c r="J45" i="31"/>
  <c r="J46" i="31" s="1"/>
  <c r="J47" i="31" s="1"/>
  <c r="J48" i="31" s="1"/>
  <c r="J49" i="31" s="1"/>
  <c r="J50" i="31" s="1"/>
  <c r="J51" i="31" s="1"/>
  <c r="J52" i="31" s="1"/>
  <c r="J53" i="31" s="1"/>
  <c r="J54" i="31" s="1"/>
  <c r="J55" i="31" s="1"/>
  <c r="B163" i="31"/>
  <c r="C125" i="31"/>
  <c r="C133" i="31"/>
  <c r="J94" i="31"/>
  <c r="J95" i="31" s="1"/>
  <c r="J96" i="31" s="1"/>
  <c r="J97" i="31" s="1"/>
  <c r="J98" i="31" s="1"/>
  <c r="J99" i="31" s="1"/>
  <c r="J100" i="31" s="1"/>
  <c r="J101" i="31" s="1"/>
  <c r="J102" i="31" s="1"/>
  <c r="J103" i="31" s="1"/>
  <c r="J106" i="31"/>
  <c r="J107" i="31" s="1"/>
  <c r="J108" i="31" s="1"/>
  <c r="J109" i="31" s="1"/>
  <c r="J110" i="31" s="1"/>
  <c r="J111" i="31" s="1"/>
  <c r="J112" i="31" s="1"/>
  <c r="J113" i="31" s="1"/>
  <c r="J114" i="31" s="1"/>
  <c r="J115" i="31" s="1"/>
  <c r="AG404" i="30"/>
  <c r="A82" i="30"/>
  <c r="A65" i="30"/>
  <c r="A107" i="30" s="1"/>
  <c r="A280" i="30"/>
  <c r="A283" i="30" s="1"/>
  <c r="A286" i="30" s="1"/>
  <c r="A322" i="30" s="1"/>
  <c r="A222" i="30"/>
  <c r="A263" i="30"/>
  <c r="A276" i="30" s="1"/>
  <c r="A279" i="30"/>
  <c r="A282" i="30" s="1"/>
  <c r="A285" i="30" s="1"/>
  <c r="A321" i="30" s="1"/>
  <c r="A221" i="30"/>
  <c r="A264" i="30"/>
  <c r="A277" i="30" s="1"/>
  <c r="AH393" i="30"/>
  <c r="D201" i="30"/>
  <c r="A74" i="30"/>
  <c r="A57" i="30"/>
  <c r="A99" i="30" s="1"/>
  <c r="A80" i="30"/>
  <c r="A63" i="30"/>
  <c r="A105" i="30" s="1"/>
  <c r="AK393" i="30"/>
  <c r="D204" i="30"/>
  <c r="A104" i="30"/>
  <c r="A79" i="30"/>
  <c r="E205" i="30"/>
  <c r="D203" i="30"/>
  <c r="D263" i="30"/>
  <c r="C259" i="30"/>
  <c r="D255" i="30"/>
  <c r="AL453" i="30"/>
  <c r="AP453" i="30" s="1"/>
  <c r="AN453" i="30"/>
  <c r="S19" i="30"/>
  <c r="C204" i="30"/>
  <c r="A58" i="30"/>
  <c r="A100" i="30" s="1"/>
  <c r="A77" i="30"/>
  <c r="AK487" i="30"/>
  <c r="C243" i="30"/>
  <c r="D239" i="30"/>
  <c r="AM422" i="30"/>
  <c r="AQ422" i="30" s="1"/>
  <c r="AO422" i="30"/>
  <c r="E202" i="30"/>
  <c r="A56" i="30"/>
  <c r="A98" i="30" s="1"/>
  <c r="A81" i="30"/>
  <c r="C202" i="30"/>
  <c r="B250" i="30"/>
  <c r="C247" i="30"/>
  <c r="B251" i="30"/>
  <c r="E268" i="30"/>
  <c r="AK423" i="30"/>
  <c r="AJ517" i="30"/>
  <c r="AJ550" i="30"/>
  <c r="AG435" i="30"/>
  <c r="AG457" i="30"/>
  <c r="AG466" i="30" s="1"/>
  <c r="AJ485" i="30"/>
  <c r="AO454" i="30"/>
  <c r="AC410" i="30"/>
  <c r="AH394" i="30"/>
  <c r="AO394" i="30" s="1"/>
  <c r="E201" i="30"/>
  <c r="A55" i="30"/>
  <c r="A97" i="30" s="1"/>
  <c r="A59" i="30"/>
  <c r="A101" i="30" s="1"/>
  <c r="B234" i="30"/>
  <c r="C231" i="30"/>
  <c r="B235" i="30"/>
  <c r="B263" i="30"/>
  <c r="AJ403" i="30"/>
  <c r="AL577" i="30"/>
  <c r="AP577" i="30" s="1"/>
  <c r="AN577" i="30"/>
  <c r="AG487" i="30"/>
  <c r="AJ425" i="30"/>
  <c r="AJ549" i="30"/>
  <c r="AD379" i="30"/>
  <c r="AE379" i="30" s="1"/>
  <c r="AM453" i="30"/>
  <c r="AQ453" i="30" s="1"/>
  <c r="AO453" i="30"/>
  <c r="AN515" i="30"/>
  <c r="AL515" i="30"/>
  <c r="AP515" i="30" s="1"/>
  <c r="B243" i="30"/>
  <c r="AJ547" i="30"/>
  <c r="AJ548" i="30"/>
  <c r="AJ487" i="30"/>
  <c r="AN422" i="30"/>
  <c r="AL422" i="30"/>
  <c r="AP422" i="30" s="1"/>
  <c r="AN484" i="30"/>
  <c r="AL484" i="30"/>
  <c r="AP484" i="30" s="1"/>
  <c r="AL546" i="30"/>
  <c r="AP546" i="30" s="1"/>
  <c r="AN546" i="30"/>
  <c r="AG581" i="30"/>
  <c r="AG590" i="30" s="1"/>
  <c r="AJ488" i="30"/>
  <c r="AB503" i="30"/>
  <c r="AD472" i="30"/>
  <c r="AE472" i="30" s="1"/>
  <c r="AJ519" i="30"/>
  <c r="AF392" i="30"/>
  <c r="AM515" i="30"/>
  <c r="AQ515" i="30" s="1"/>
  <c r="AO515" i="30"/>
  <c r="AB534" i="30"/>
  <c r="AJ526" i="30" l="1"/>
  <c r="AJ525" i="30"/>
  <c r="AG492" i="30"/>
  <c r="AN488" i="30"/>
  <c r="AN486" i="30"/>
  <c r="AN487" i="30"/>
  <c r="AJ494" i="30"/>
  <c r="AN457" i="30"/>
  <c r="AO393" i="30"/>
  <c r="AM393" i="30"/>
  <c r="AQ393" i="30" s="1"/>
  <c r="AQ394" i="30"/>
  <c r="D282" i="30"/>
  <c r="E178" i="30"/>
  <c r="E184" i="30" s="1"/>
  <c r="E198" i="30" s="1"/>
  <c r="E213" i="30" s="1"/>
  <c r="E219" i="30" s="1"/>
  <c r="E225" i="30" s="1"/>
  <c r="E274" i="30" s="1"/>
  <c r="C289" i="30" s="1"/>
  <c r="C319" i="30" s="1"/>
  <c r="E163" i="30"/>
  <c r="AF434" i="30"/>
  <c r="AD386" i="30"/>
  <c r="AE386" i="30" s="1"/>
  <c r="E269" i="30"/>
  <c r="D202" i="30"/>
  <c r="AD479" i="30"/>
  <c r="AE479" i="30" s="1"/>
  <c r="E206" i="30"/>
  <c r="E203" i="30"/>
  <c r="E207" i="30"/>
  <c r="AN404" i="30"/>
  <c r="C169" i="31"/>
  <c r="C173" i="31"/>
  <c r="C177" i="31"/>
  <c r="AN435" i="30"/>
  <c r="AJ435" i="30"/>
  <c r="F26" i="30"/>
  <c r="I39" i="30" s="1"/>
  <c r="D26" i="30"/>
  <c r="AF423" i="30"/>
  <c r="AF401" i="30"/>
  <c r="AF435" i="30"/>
  <c r="C235" i="30"/>
  <c r="D231" i="30"/>
  <c r="D235" i="30" s="1"/>
  <c r="AB441" i="30"/>
  <c r="AD417" i="30"/>
  <c r="AE417" i="30" s="1"/>
  <c r="AD410" i="30"/>
  <c r="AE410" i="30" s="1"/>
  <c r="D243" i="30"/>
  <c r="B264" i="30"/>
  <c r="AH392" i="30"/>
  <c r="AH399" i="30" s="1"/>
  <c r="AK392" i="30"/>
  <c r="C203" i="30"/>
  <c r="AJ497" i="30"/>
  <c r="AN485" i="30"/>
  <c r="AJ528" i="30"/>
  <c r="C251" i="30"/>
  <c r="D247" i="30"/>
  <c r="C263" i="30"/>
  <c r="C282" i="30" s="1"/>
  <c r="E204" i="30"/>
  <c r="D264" i="30"/>
  <c r="D283" i="30" s="1"/>
  <c r="D259" i="30"/>
  <c r="AJ402" i="30"/>
  <c r="AF465" i="30"/>
  <c r="AD510" i="30"/>
  <c r="AE510" i="30" s="1"/>
  <c r="AD503" i="30"/>
  <c r="AE503" i="30" s="1"/>
  <c r="AJ434" i="30"/>
  <c r="AJ433" i="30"/>
  <c r="B282" i="30"/>
  <c r="AJ454" i="30"/>
  <c r="AJ432" i="30"/>
  <c r="AJ496" i="30"/>
  <c r="AJ518" i="30"/>
  <c r="C201" i="30"/>
  <c r="I282" i="30" l="1"/>
  <c r="H289" i="30"/>
  <c r="C304" i="30"/>
  <c r="E263" i="30"/>
  <c r="AJ463" i="30"/>
  <c r="AD448" i="30"/>
  <c r="AE448" i="30" s="1"/>
  <c r="AD441" i="30"/>
  <c r="AE441" i="30" s="1"/>
  <c r="AF454" i="30"/>
  <c r="AF432" i="30"/>
  <c r="AN466" i="30"/>
  <c r="AJ466" i="30"/>
  <c r="AJ527" i="30"/>
  <c r="B283" i="30"/>
  <c r="AF433" i="30"/>
  <c r="AJ464" i="30"/>
  <c r="AJ465" i="30"/>
  <c r="D251" i="30"/>
  <c r="C264" i="30"/>
  <c r="C283" i="30" s="1"/>
  <c r="AJ401" i="30"/>
  <c r="AO392" i="30"/>
  <c r="AM392" i="30"/>
  <c r="AF466" i="30"/>
  <c r="I283" i="30" l="1"/>
  <c r="E264" i="30"/>
  <c r="AQ392" i="30"/>
  <c r="AF527" i="30"/>
  <c r="AF549" i="30"/>
  <c r="AF580" i="30" s="1"/>
  <c r="AF589" i="30" s="1"/>
  <c r="AF464" i="30"/>
  <c r="AF485" i="30"/>
  <c r="AF463" i="30"/>
  <c r="AF558" i="30" l="1"/>
  <c r="AF516" i="30"/>
  <c r="AF494" i="30"/>
  <c r="AF550" i="30"/>
  <c r="AF581" i="30" s="1"/>
  <c r="AF590" i="30" s="1"/>
  <c r="AF528" i="30"/>
  <c r="AF559" i="30" l="1"/>
  <c r="AF526" i="30"/>
  <c r="AF548" i="30"/>
  <c r="AF579" i="30" s="1"/>
  <c r="AF588" i="30" s="1"/>
  <c r="AF547" i="30"/>
  <c r="AF525" i="30"/>
  <c r="AF557" i="30" l="1"/>
  <c r="AF556" i="30"/>
  <c r="AF578" i="30"/>
  <c r="AF587" i="30" s="1"/>
  <c r="U20" i="29" l="1"/>
  <c r="S18" i="29"/>
  <c r="D28" i="18" l="1"/>
  <c r="L23" i="11" l="1"/>
  <c r="N41" i="11"/>
  <c r="N36" i="11"/>
  <c r="L33" i="11"/>
  <c r="L28" i="11"/>
  <c r="N22" i="11"/>
  <c r="L19" i="11"/>
  <c r="L15" i="11"/>
  <c r="I33" i="9" l="1"/>
  <c r="J33" i="9"/>
  <c r="I34" i="9"/>
  <c r="H34" i="9"/>
  <c r="S21" i="29"/>
  <c r="D15" i="17"/>
  <c r="G15" i="17"/>
  <c r="H15" i="17"/>
  <c r="D14" i="17"/>
  <c r="G14" i="17"/>
  <c r="H14" i="17"/>
  <c r="G31" i="17"/>
  <c r="H27" i="17"/>
  <c r="G27" i="17"/>
  <c r="D27" i="17"/>
  <c r="C27" i="17"/>
  <c r="B27" i="17"/>
  <c r="E11" i="17"/>
  <c r="E12" i="17"/>
  <c r="E27" i="17" s="1"/>
  <c r="E13" i="17"/>
  <c r="E14" i="17" s="1"/>
  <c r="E15" i="17" s="1"/>
  <c r="N27" i="11" s="1"/>
  <c r="D11" i="17"/>
  <c r="D12" i="17"/>
  <c r="D13" i="17"/>
  <c r="C13" i="17"/>
  <c r="C12" i="17"/>
  <c r="C11" i="17"/>
  <c r="B13" i="17"/>
  <c r="I14" i="9"/>
  <c r="I13" i="9"/>
  <c r="D18" i="18"/>
  <c r="D19" i="18"/>
  <c r="D20" i="18"/>
  <c r="D21" i="18"/>
  <c r="D22" i="18"/>
  <c r="D23" i="18"/>
  <c r="D24" i="18"/>
  <c r="D25" i="18"/>
  <c r="C18" i="18"/>
  <c r="C19" i="18"/>
  <c r="C20" i="18"/>
  <c r="C21" i="18"/>
  <c r="C22" i="18"/>
  <c r="C24" i="18"/>
  <c r="C25" i="18"/>
  <c r="C26" i="18"/>
  <c r="C23" i="18"/>
  <c r="J34" i="9"/>
  <c r="J35" i="9" s="1"/>
  <c r="J36" i="9" s="1"/>
  <c r="J55" i="9" s="1"/>
  <c r="J63" i="9" s="1"/>
  <c r="B24" i="18"/>
  <c r="B23" i="18"/>
  <c r="B18" i="18"/>
  <c r="B19" i="18"/>
  <c r="B20" i="18"/>
  <c r="B21" i="18"/>
  <c r="B22" i="18"/>
  <c r="B25" i="18"/>
  <c r="D26" i="18" l="1"/>
  <c r="L37" i="11"/>
  <c r="I47" i="9"/>
  <c r="J47" i="9"/>
  <c r="K34" i="9"/>
  <c r="B26" i="18"/>
  <c r="K33" i="9"/>
  <c r="M34" i="9"/>
  <c r="M33" i="9"/>
  <c r="K47" i="9" l="1"/>
  <c r="M47" i="9"/>
  <c r="M35" i="9"/>
  <c r="M36" i="9" s="1"/>
  <c r="M55" i="9" s="1"/>
  <c r="M63" i="9" s="1"/>
  <c r="F169" i="19" l="1"/>
  <c r="G169" i="19"/>
  <c r="F170" i="19"/>
  <c r="G170" i="19"/>
  <c r="F171" i="19"/>
  <c r="G171" i="19"/>
  <c r="F172" i="19"/>
  <c r="G172" i="19"/>
  <c r="F173" i="19"/>
  <c r="G173" i="19"/>
  <c r="F174" i="19"/>
  <c r="G174" i="19"/>
  <c r="F175" i="19"/>
  <c r="G175" i="19"/>
  <c r="F176" i="19"/>
  <c r="G176" i="19"/>
  <c r="F177" i="19"/>
  <c r="G177" i="19"/>
  <c r="F178" i="19"/>
  <c r="G178" i="19"/>
  <c r="F179" i="19"/>
  <c r="G179" i="19"/>
  <c r="F180" i="19"/>
  <c r="G180" i="19"/>
  <c r="A18" i="9"/>
  <c r="A36" i="9" s="1"/>
  <c r="N33" i="9"/>
  <c r="N32" i="9"/>
  <c r="N31" i="9"/>
  <c r="N30" i="9"/>
  <c r="N29" i="9"/>
  <c r="N28" i="9"/>
  <c r="N27" i="9"/>
  <c r="N26" i="9"/>
  <c r="B158" i="19"/>
  <c r="B16" i="9" l="1"/>
  <c r="B141" i="30"/>
  <c r="L4" i="11"/>
  <c r="E26" i="18"/>
  <c r="L42" i="11"/>
  <c r="L47" i="11" s="1"/>
  <c r="N41" i="9"/>
  <c r="N45" i="9"/>
  <c r="N40" i="9"/>
  <c r="N44" i="9"/>
  <c r="N42" i="9"/>
  <c r="N46" i="9"/>
  <c r="N43" i="9"/>
  <c r="N34" i="9"/>
  <c r="N47" i="9" s="1"/>
  <c r="U328" i="30" l="1"/>
  <c r="G9" i="28"/>
  <c r="N51" i="9"/>
  <c r="N49" i="9" s="1"/>
  <c r="N35" i="9" s="1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V5" i="23"/>
  <c r="N36" i="9" l="1"/>
  <c r="N55" i="9" s="1"/>
  <c r="N54" i="9"/>
  <c r="M111" i="19"/>
  <c r="N111" i="19" s="1"/>
  <c r="O111" i="19" s="1"/>
  <c r="M119" i="19"/>
  <c r="N119" i="19" s="1"/>
  <c r="O119" i="19" s="1"/>
  <c r="M115" i="19"/>
  <c r="N115" i="19" s="1"/>
  <c r="O115" i="19" s="1"/>
  <c r="M122" i="19"/>
  <c r="N122" i="19" s="1"/>
  <c r="O122" i="19" s="1"/>
  <c r="M118" i="19"/>
  <c r="N118" i="19" s="1"/>
  <c r="O118" i="19" s="1"/>
  <c r="M114" i="19"/>
  <c r="N114" i="19" s="1"/>
  <c r="O114" i="19" s="1"/>
  <c r="M121" i="19"/>
  <c r="N121" i="19" s="1"/>
  <c r="O121" i="19" s="1"/>
  <c r="M117" i="19"/>
  <c r="N117" i="19" s="1"/>
  <c r="O117" i="19" s="1"/>
  <c r="M113" i="19"/>
  <c r="N113" i="19" s="1"/>
  <c r="O113" i="19" s="1"/>
  <c r="M120" i="19"/>
  <c r="N120" i="19" s="1"/>
  <c r="O120" i="19" s="1"/>
  <c r="M116" i="19"/>
  <c r="N116" i="19" s="1"/>
  <c r="O116" i="19" s="1"/>
  <c r="M112" i="19"/>
  <c r="N112" i="19" s="1"/>
  <c r="O112" i="19" s="1"/>
  <c r="V41" i="23"/>
  <c r="V21" i="23"/>
  <c r="N63" i="9" l="1"/>
  <c r="N42" i="11"/>
  <c r="C136" i="19"/>
  <c r="C170" i="19" s="1"/>
  <c r="C140" i="19"/>
  <c r="C144" i="19"/>
  <c r="C178" i="19" s="1"/>
  <c r="C139" i="19"/>
  <c r="C173" i="19" s="1"/>
  <c r="C143" i="19"/>
  <c r="C177" i="19" s="1"/>
  <c r="C135" i="19"/>
  <c r="C169" i="19" s="1"/>
  <c r="C137" i="19"/>
  <c r="C171" i="19" s="1"/>
  <c r="C141" i="19"/>
  <c r="C175" i="19" s="1"/>
  <c r="C145" i="19"/>
  <c r="C179" i="19" s="1"/>
  <c r="C138" i="19"/>
  <c r="C172" i="19" s="1"/>
  <c r="C142" i="19"/>
  <c r="C176" i="19" s="1"/>
  <c r="C146" i="19"/>
  <c r="C180" i="19" s="1"/>
  <c r="C124" i="19"/>
  <c r="C128" i="19"/>
  <c r="C132" i="19"/>
  <c r="C127" i="19"/>
  <c r="C131" i="19"/>
  <c r="C125" i="19"/>
  <c r="C129" i="19"/>
  <c r="C133" i="19"/>
  <c r="C126" i="19"/>
  <c r="C130" i="19"/>
  <c r="C134" i="19"/>
  <c r="C123" i="19"/>
  <c r="M158" i="19"/>
  <c r="C174" i="19"/>
  <c r="C141" i="30" l="1"/>
  <c r="N158" i="19"/>
  <c r="P158" i="19" s="1"/>
  <c r="O55" i="9"/>
  <c r="O54" i="9"/>
  <c r="S27" i="29"/>
  <c r="S28" i="29"/>
  <c r="U16" i="29"/>
  <c r="U13" i="29"/>
  <c r="U14" i="29"/>
  <c r="U15" i="29"/>
  <c r="U12" i="29"/>
  <c r="G16" i="9"/>
  <c r="D141" i="30" l="1"/>
  <c r="F16" i="9"/>
  <c r="L52" i="11"/>
  <c r="L57" i="11" s="1"/>
  <c r="L10" i="11"/>
  <c r="G13" i="28" s="1"/>
  <c r="K42" i="11"/>
  <c r="J42" i="11"/>
  <c r="I42" i="11"/>
  <c r="M41" i="11"/>
  <c r="L41" i="11"/>
  <c r="K41" i="11"/>
  <c r="J41" i="11"/>
  <c r="I41" i="11"/>
  <c r="K38" i="11"/>
  <c r="J38" i="11"/>
  <c r="I38" i="11"/>
  <c r="K37" i="11"/>
  <c r="J37" i="11"/>
  <c r="I37" i="11"/>
  <c r="M36" i="11"/>
  <c r="L36" i="11"/>
  <c r="K36" i="11"/>
  <c r="J36" i="11"/>
  <c r="I36" i="11"/>
  <c r="K33" i="11"/>
  <c r="J33" i="11"/>
  <c r="I33" i="11"/>
  <c r="K29" i="11"/>
  <c r="J29" i="11"/>
  <c r="I29" i="11"/>
  <c r="K28" i="11"/>
  <c r="J28" i="11"/>
  <c r="I28" i="11"/>
  <c r="L27" i="11"/>
  <c r="K27" i="11"/>
  <c r="J27" i="11"/>
  <c r="K24" i="11"/>
  <c r="J24" i="11"/>
  <c r="I24" i="11"/>
  <c r="K23" i="11"/>
  <c r="J23" i="11"/>
  <c r="I23" i="11"/>
  <c r="K22" i="11"/>
  <c r="J22" i="11"/>
  <c r="K19" i="11"/>
  <c r="J19" i="11"/>
  <c r="I19" i="11"/>
  <c r="K18" i="11"/>
  <c r="J18" i="11"/>
  <c r="K15" i="11"/>
  <c r="J15" i="11"/>
  <c r="I15" i="11"/>
  <c r="K14" i="11"/>
  <c r="J14" i="11"/>
  <c r="K47" i="11" l="1"/>
  <c r="J47" i="11"/>
  <c r="I47" i="11"/>
  <c r="E25" i="18"/>
  <c r="E24" i="18"/>
  <c r="I70" i="9"/>
  <c r="H70" i="9"/>
  <c r="M42" i="11"/>
  <c r="L25" i="9"/>
  <c r="L26" i="9"/>
  <c r="L27" i="9"/>
  <c r="L28" i="9"/>
  <c r="L41" i="9" s="1"/>
  <c r="L29" i="9"/>
  <c r="L30" i="9"/>
  <c r="M31" i="9"/>
  <c r="I32" i="9"/>
  <c r="J32" i="9"/>
  <c r="K32" i="9"/>
  <c r="M32" i="9"/>
  <c r="M54" i="9"/>
  <c r="M62" i="9" s="1"/>
  <c r="H32" i="9"/>
  <c r="H33" i="9"/>
  <c r="G13" i="9"/>
  <c r="G14" i="9"/>
  <c r="G15" i="9"/>
  <c r="A15" i="9"/>
  <c r="A33" i="9" s="1"/>
  <c r="A16" i="9"/>
  <c r="A34" i="9" s="1"/>
  <c r="A17" i="9"/>
  <c r="A35" i="9" s="1"/>
  <c r="A13" i="9"/>
  <c r="A31" i="9" s="1"/>
  <c r="A14" i="9"/>
  <c r="A32" i="9" s="1"/>
  <c r="L180" i="19"/>
  <c r="L179" i="19"/>
  <c r="L178" i="19"/>
  <c r="L177" i="19"/>
  <c r="L176" i="19"/>
  <c r="L175" i="19"/>
  <c r="L174" i="19"/>
  <c r="J174" i="19"/>
  <c r="L173" i="19"/>
  <c r="L172" i="19"/>
  <c r="L171" i="19"/>
  <c r="L170" i="19"/>
  <c r="L169" i="19"/>
  <c r="L43" i="9" l="1"/>
  <c r="L39" i="9"/>
  <c r="L42" i="9"/>
  <c r="M45" i="9"/>
  <c r="M46" i="9"/>
  <c r="I46" i="9"/>
  <c r="H46" i="9"/>
  <c r="H47" i="9"/>
  <c r="K46" i="9"/>
  <c r="J46" i="9"/>
  <c r="L40" i="9"/>
  <c r="J70" i="9"/>
  <c r="I43" i="11"/>
  <c r="I48" i="11" s="1"/>
  <c r="E23" i="18"/>
  <c r="J52" i="11"/>
  <c r="J57" i="11" s="1"/>
  <c r="J10" i="11"/>
  <c r="E13" i="28" s="1"/>
  <c r="I10" i="11"/>
  <c r="D13" i="28" s="1"/>
  <c r="I52" i="11"/>
  <c r="I57" i="11" s="1"/>
  <c r="N62" i="9"/>
  <c r="K10" i="11"/>
  <c r="F13" i="28" s="1"/>
  <c r="K52" i="11"/>
  <c r="K57" i="11" s="1"/>
  <c r="J43" i="11"/>
  <c r="J48" i="11" s="1"/>
  <c r="F9" i="18"/>
  <c r="J53" i="11" s="1"/>
  <c r="F10" i="18"/>
  <c r="K53" i="11" s="1"/>
  <c r="K43" i="11"/>
  <c r="K48" i="11" s="1"/>
  <c r="K58" i="11" l="1"/>
  <c r="J58" i="11"/>
  <c r="T15" i="29" l="1"/>
  <c r="S15" i="29"/>
  <c r="T13" i="29"/>
  <c r="T14" i="29"/>
  <c r="T12" i="29"/>
  <c r="S14" i="29"/>
  <c r="S13" i="29"/>
  <c r="S12" i="29"/>
  <c r="B13" i="29"/>
  <c r="B12" i="29"/>
  <c r="C12" i="29" s="1"/>
  <c r="B11" i="29"/>
  <c r="C11" i="29" s="1"/>
  <c r="B10" i="29"/>
  <c r="C10" i="29" s="1"/>
  <c r="B9" i="29"/>
  <c r="C9" i="29" s="1"/>
  <c r="B8" i="29"/>
  <c r="C8" i="29" s="1"/>
  <c r="B7" i="29"/>
  <c r="C7" i="29" s="1"/>
  <c r="B6" i="29"/>
  <c r="C6" i="29" s="1"/>
  <c r="B5" i="29"/>
  <c r="C5" i="29" s="1"/>
  <c r="B4" i="29"/>
  <c r="C4" i="29" s="1"/>
  <c r="B3" i="29"/>
  <c r="C3" i="29" s="1"/>
  <c r="D3" i="29" s="1"/>
  <c r="E3" i="29" s="1"/>
  <c r="C21" i="29" s="1"/>
  <c r="S16" i="29"/>
  <c r="Q16" i="29"/>
  <c r="P16" i="29"/>
  <c r="O16" i="29"/>
  <c r="N16" i="29"/>
  <c r="R15" i="29"/>
  <c r="R14" i="29"/>
  <c r="K14" i="29"/>
  <c r="H14" i="29"/>
  <c r="R13" i="29"/>
  <c r="R12" i="29"/>
  <c r="Q9" i="29"/>
  <c r="R9" i="29" s="1"/>
  <c r="Q8" i="29"/>
  <c r="P8" i="29"/>
  <c r="Q7" i="29"/>
  <c r="P7" i="29"/>
  <c r="O7" i="29"/>
  <c r="Q6" i="29"/>
  <c r="P6" i="29"/>
  <c r="P10" i="29" s="1"/>
  <c r="O6" i="29"/>
  <c r="N6" i="29"/>
  <c r="E2" i="29"/>
  <c r="D2" i="29"/>
  <c r="L3" i="19" l="1"/>
  <c r="L3" i="31"/>
  <c r="B14" i="29"/>
  <c r="T16" i="29"/>
  <c r="O10" i="29"/>
  <c r="Q10" i="29"/>
  <c r="N10" i="29"/>
  <c r="R16" i="29"/>
  <c r="R7" i="29"/>
  <c r="R8" i="29"/>
  <c r="C22" i="29"/>
  <c r="L4" i="31" s="1"/>
  <c r="T18" i="29"/>
  <c r="R6" i="29"/>
  <c r="C13" i="29" l="1"/>
  <c r="C14" i="29" s="1"/>
  <c r="U18" i="29"/>
  <c r="C23" i="29"/>
  <c r="L5" i="31" s="1"/>
  <c r="L4" i="19"/>
  <c r="R10" i="29"/>
  <c r="C24" i="29" l="1"/>
  <c r="L6" i="31" s="1"/>
  <c r="L5" i="19"/>
  <c r="C25" i="29" l="1"/>
  <c r="L7" i="31" s="1"/>
  <c r="L6" i="19"/>
  <c r="C26" i="29" l="1"/>
  <c r="L8" i="31" s="1"/>
  <c r="L7" i="19"/>
  <c r="C27" i="29" l="1"/>
  <c r="L9" i="31" s="1"/>
  <c r="L8" i="19"/>
  <c r="C28" i="29" l="1"/>
  <c r="L10" i="31" s="1"/>
  <c r="L9" i="19"/>
  <c r="C29" i="29" l="1"/>
  <c r="L11" i="31" s="1"/>
  <c r="L10" i="19"/>
  <c r="C30" i="29" l="1"/>
  <c r="L12" i="31" s="1"/>
  <c r="L11" i="19"/>
  <c r="C31" i="29" l="1"/>
  <c r="L13" i="31" s="1"/>
  <c r="L12" i="19"/>
  <c r="C32" i="29" l="1"/>
  <c r="L14" i="31" s="1"/>
  <c r="L13" i="19"/>
  <c r="L14" i="19" l="1"/>
  <c r="E32" i="29"/>
  <c r="D4" i="29" s="1"/>
  <c r="E4" i="29" s="1"/>
  <c r="C33" i="29" s="1"/>
  <c r="L15" i="31" s="1"/>
  <c r="D32" i="29"/>
  <c r="G3" i="29" s="1"/>
  <c r="H3" i="29" s="1"/>
  <c r="L15" i="19" l="1"/>
  <c r="C34" i="29"/>
  <c r="L16" i="31" s="1"/>
  <c r="C35" i="29" l="1"/>
  <c r="L17" i="31" s="1"/>
  <c r="L16" i="19"/>
  <c r="C36" i="29" l="1"/>
  <c r="L18" i="31" s="1"/>
  <c r="L17" i="19"/>
  <c r="C37" i="29" l="1"/>
  <c r="L19" i="31" s="1"/>
  <c r="L18" i="19"/>
  <c r="C38" i="29" l="1"/>
  <c r="L20" i="31" s="1"/>
  <c r="L19" i="19"/>
  <c r="C39" i="29" l="1"/>
  <c r="L21" i="31" s="1"/>
  <c r="L20" i="19"/>
  <c r="C40" i="29" l="1"/>
  <c r="L22" i="31" s="1"/>
  <c r="L21" i="19"/>
  <c r="C41" i="29" l="1"/>
  <c r="L23" i="31" s="1"/>
  <c r="L22" i="19"/>
  <c r="C42" i="29" l="1"/>
  <c r="L24" i="31" s="1"/>
  <c r="L23" i="19"/>
  <c r="C43" i="29" l="1"/>
  <c r="L25" i="31" s="1"/>
  <c r="L24" i="19"/>
  <c r="C44" i="29" l="1"/>
  <c r="L26" i="31" s="1"/>
  <c r="L25" i="19"/>
  <c r="L26" i="19" l="1"/>
  <c r="E44" i="29"/>
  <c r="D5" i="29" s="1"/>
  <c r="E5" i="29" s="1"/>
  <c r="C45" i="29" s="1"/>
  <c r="L27" i="31" s="1"/>
  <c r="D44" i="29"/>
  <c r="G4" i="29" s="1"/>
  <c r="M27" i="11"/>
  <c r="G13" i="17"/>
  <c r="H13" i="17"/>
  <c r="C18" i="17"/>
  <c r="D18" i="17"/>
  <c r="E18" i="17"/>
  <c r="F18" i="17"/>
  <c r="G18" i="17"/>
  <c r="C19" i="17"/>
  <c r="D19" i="17"/>
  <c r="E19" i="17"/>
  <c r="F19" i="17"/>
  <c r="G19" i="17"/>
  <c r="C20" i="17"/>
  <c r="D20" i="17"/>
  <c r="E20" i="17"/>
  <c r="F20" i="17"/>
  <c r="G20" i="17"/>
  <c r="H20" i="17"/>
  <c r="H31" i="17" s="1"/>
  <c r="C21" i="17"/>
  <c r="D21" i="17"/>
  <c r="E21" i="17"/>
  <c r="F21" i="17"/>
  <c r="G21" i="17"/>
  <c r="H21" i="17"/>
  <c r="C22" i="17"/>
  <c r="D22" i="17"/>
  <c r="E22" i="17"/>
  <c r="F22" i="17"/>
  <c r="G22" i="17"/>
  <c r="H22" i="17"/>
  <c r="E23" i="17"/>
  <c r="F23" i="17"/>
  <c r="G23" i="17"/>
  <c r="H23" i="17"/>
  <c r="F24" i="17"/>
  <c r="G24" i="17"/>
  <c r="H24" i="17"/>
  <c r="G25" i="17"/>
  <c r="H25" i="17"/>
  <c r="C26" i="17"/>
  <c r="D26" i="17"/>
  <c r="E26" i="17"/>
  <c r="G26" i="17"/>
  <c r="H26" i="17"/>
  <c r="B19" i="17"/>
  <c r="B20" i="17"/>
  <c r="B21" i="17"/>
  <c r="B22" i="17"/>
  <c r="B26" i="17"/>
  <c r="C3" i="17"/>
  <c r="D3" i="17"/>
  <c r="E3" i="17"/>
  <c r="F3" i="17"/>
  <c r="G3" i="17"/>
  <c r="H3" i="17"/>
  <c r="C4" i="17"/>
  <c r="D4" i="17"/>
  <c r="E4" i="17"/>
  <c r="F4" i="17"/>
  <c r="G4" i="17"/>
  <c r="H4" i="17"/>
  <c r="C5" i="17"/>
  <c r="D5" i="17"/>
  <c r="E5" i="17"/>
  <c r="F5" i="17"/>
  <c r="G5" i="17"/>
  <c r="C6" i="17"/>
  <c r="D6" i="17"/>
  <c r="E6" i="17"/>
  <c r="F6" i="17"/>
  <c r="G6" i="17"/>
  <c r="H6" i="17"/>
  <c r="C7" i="17"/>
  <c r="D7" i="17"/>
  <c r="E7" i="17"/>
  <c r="F7" i="17"/>
  <c r="G7" i="17"/>
  <c r="H7" i="17"/>
  <c r="C8" i="17"/>
  <c r="D8" i="17"/>
  <c r="E8" i="17"/>
  <c r="F8" i="17"/>
  <c r="G8" i="17"/>
  <c r="H8" i="17"/>
  <c r="E9" i="17"/>
  <c r="F9" i="17"/>
  <c r="G9" i="17"/>
  <c r="H9" i="17"/>
  <c r="F10" i="17"/>
  <c r="G10" i="17"/>
  <c r="H10" i="17"/>
  <c r="F11" i="17"/>
  <c r="L32" i="9" s="1"/>
  <c r="G11" i="17"/>
  <c r="H11" i="17"/>
  <c r="F12" i="17"/>
  <c r="G12" i="17"/>
  <c r="H12" i="17"/>
  <c r="B11" i="17"/>
  <c r="B12" i="17"/>
  <c r="B3" i="17"/>
  <c r="L33" i="9" l="1"/>
  <c r="K32" i="11"/>
  <c r="K46" i="11" s="1"/>
  <c r="I11" i="17"/>
  <c r="J51" i="11" s="1"/>
  <c r="F25" i="17"/>
  <c r="F13" i="17"/>
  <c r="L46" i="9"/>
  <c r="L45" i="9"/>
  <c r="J32" i="11"/>
  <c r="J46" i="11" s="1"/>
  <c r="I32" i="11"/>
  <c r="L31" i="9"/>
  <c r="L44" i="9" s="1"/>
  <c r="F26" i="17"/>
  <c r="H4" i="29"/>
  <c r="L27" i="19"/>
  <c r="C46" i="29"/>
  <c r="L28" i="31" s="1"/>
  <c r="I12" i="17"/>
  <c r="J104" i="19" s="1"/>
  <c r="E10" i="17"/>
  <c r="I27" i="11" l="1"/>
  <c r="K31" i="9"/>
  <c r="K45" i="9" s="1"/>
  <c r="E24" i="17"/>
  <c r="E25" i="17"/>
  <c r="J92" i="19"/>
  <c r="J56" i="11"/>
  <c r="F14" i="17"/>
  <c r="F27" i="17"/>
  <c r="F31" i="17" s="1"/>
  <c r="L34" i="9"/>
  <c r="L47" i="9" s="1"/>
  <c r="L32" i="11"/>
  <c r="L46" i="11" s="1"/>
  <c r="L51" i="9"/>
  <c r="K51" i="11"/>
  <c r="K56" i="11" s="1"/>
  <c r="J93" i="19"/>
  <c r="J94" i="19" s="1"/>
  <c r="J95" i="19" s="1"/>
  <c r="J96" i="19" s="1"/>
  <c r="J97" i="19" s="1"/>
  <c r="J98" i="19" s="1"/>
  <c r="J99" i="19" s="1"/>
  <c r="J100" i="19" s="1"/>
  <c r="J101" i="19" s="1"/>
  <c r="J102" i="19" s="1"/>
  <c r="J103" i="19" s="1"/>
  <c r="C47" i="29"/>
  <c r="L29" i="31" s="1"/>
  <c r="L28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D110" i="19"/>
  <c r="M110" i="19" s="1"/>
  <c r="N110" i="19" s="1"/>
  <c r="O110" i="19" s="1"/>
  <c r="D109" i="19"/>
  <c r="M109" i="19" s="1"/>
  <c r="N109" i="19" s="1"/>
  <c r="O109" i="19" s="1"/>
  <c r="D108" i="19"/>
  <c r="M108" i="19" s="1"/>
  <c r="N108" i="19" s="1"/>
  <c r="O108" i="19" s="1"/>
  <c r="D107" i="19"/>
  <c r="M107" i="19" s="1"/>
  <c r="N107" i="19" s="1"/>
  <c r="O107" i="19" s="1"/>
  <c r="D106" i="19"/>
  <c r="M106" i="19" s="1"/>
  <c r="N106" i="19" s="1"/>
  <c r="O106" i="19" s="1"/>
  <c r="D105" i="19"/>
  <c r="M105" i="19" s="1"/>
  <c r="N105" i="19" s="1"/>
  <c r="O105" i="19" s="1"/>
  <c r="D104" i="19"/>
  <c r="M104" i="19" s="1"/>
  <c r="N104" i="19" s="1"/>
  <c r="O104" i="19" s="1"/>
  <c r="D103" i="19"/>
  <c r="M103" i="19" s="1"/>
  <c r="N103" i="19" s="1"/>
  <c r="O103" i="19" s="1"/>
  <c r="D102" i="19"/>
  <c r="M102" i="19" s="1"/>
  <c r="N102" i="19" s="1"/>
  <c r="O102" i="19" s="1"/>
  <c r="D101" i="19"/>
  <c r="M101" i="19" s="1"/>
  <c r="N101" i="19" s="1"/>
  <c r="O101" i="19" s="1"/>
  <c r="D100" i="19"/>
  <c r="M100" i="19" s="1"/>
  <c r="N100" i="19" s="1"/>
  <c r="O100" i="19" s="1"/>
  <c r="D99" i="19"/>
  <c r="M99" i="19" s="1"/>
  <c r="N99" i="19" s="1"/>
  <c r="O99" i="19" s="1"/>
  <c r="E98" i="19"/>
  <c r="E97" i="19"/>
  <c r="E96" i="19"/>
  <c r="E95" i="19"/>
  <c r="E94" i="19"/>
  <c r="E93" i="19"/>
  <c r="E92" i="19"/>
  <c r="E91" i="19"/>
  <c r="E90" i="19"/>
  <c r="E89" i="19"/>
  <c r="E88" i="19"/>
  <c r="D98" i="19"/>
  <c r="M98" i="19" s="1"/>
  <c r="N98" i="19" s="1"/>
  <c r="O98" i="19" s="1"/>
  <c r="D97" i="19"/>
  <c r="M97" i="19" s="1"/>
  <c r="N97" i="19" s="1"/>
  <c r="O97" i="19" s="1"/>
  <c r="D96" i="19"/>
  <c r="M96" i="19" s="1"/>
  <c r="N96" i="19" s="1"/>
  <c r="O96" i="19" s="1"/>
  <c r="D95" i="19"/>
  <c r="M95" i="19" s="1"/>
  <c r="N95" i="19" s="1"/>
  <c r="O95" i="19" s="1"/>
  <c r="D94" i="19"/>
  <c r="M94" i="19" s="1"/>
  <c r="N94" i="19" s="1"/>
  <c r="O94" i="19" s="1"/>
  <c r="D93" i="19"/>
  <c r="M93" i="19" s="1"/>
  <c r="N93" i="19" s="1"/>
  <c r="O93" i="19" s="1"/>
  <c r="D92" i="19"/>
  <c r="M92" i="19" s="1"/>
  <c r="N92" i="19" s="1"/>
  <c r="O92" i="19" s="1"/>
  <c r="D91" i="19"/>
  <c r="M91" i="19" s="1"/>
  <c r="N91" i="19" s="1"/>
  <c r="O91" i="19" s="1"/>
  <c r="D90" i="19"/>
  <c r="M90" i="19" s="1"/>
  <c r="N90" i="19" s="1"/>
  <c r="O90" i="19" s="1"/>
  <c r="D89" i="19"/>
  <c r="M89" i="19" s="1"/>
  <c r="N89" i="19" s="1"/>
  <c r="O89" i="19" s="1"/>
  <c r="D88" i="19"/>
  <c r="M88" i="19" s="1"/>
  <c r="N88" i="19" s="1"/>
  <c r="O88" i="19" s="1"/>
  <c r="S5" i="23"/>
  <c r="T5" i="23"/>
  <c r="X8" i="23" l="1"/>
  <c r="D169" i="31" s="1"/>
  <c r="W8" i="23"/>
  <c r="E31" i="17"/>
  <c r="F15" i="17"/>
  <c r="N32" i="11" s="1"/>
  <c r="M32" i="11"/>
  <c r="M157" i="19"/>
  <c r="D83" i="19"/>
  <c r="X16" i="23"/>
  <c r="W16" i="23"/>
  <c r="E79" i="19"/>
  <c r="W32" i="23"/>
  <c r="X32" i="23"/>
  <c r="D76" i="19"/>
  <c r="X9" i="23"/>
  <c r="W9" i="23"/>
  <c r="D80" i="19"/>
  <c r="X13" i="23"/>
  <c r="W13" i="23"/>
  <c r="D84" i="19"/>
  <c r="X17" i="23"/>
  <c r="W17" i="23"/>
  <c r="E76" i="19"/>
  <c r="W29" i="23"/>
  <c r="X29" i="23"/>
  <c r="E80" i="19"/>
  <c r="X33" i="23"/>
  <c r="W33" i="23"/>
  <c r="E84" i="19"/>
  <c r="W37" i="23"/>
  <c r="X37" i="23"/>
  <c r="D77" i="19"/>
  <c r="X10" i="23"/>
  <c r="W10" i="23"/>
  <c r="D81" i="19"/>
  <c r="X14" i="23"/>
  <c r="W14" i="23"/>
  <c r="D85" i="19"/>
  <c r="X18" i="23"/>
  <c r="W18" i="23"/>
  <c r="E77" i="19"/>
  <c r="X30" i="23"/>
  <c r="W30" i="23"/>
  <c r="E81" i="19"/>
  <c r="X34" i="23"/>
  <c r="W34" i="23"/>
  <c r="E85" i="19"/>
  <c r="X38" i="23"/>
  <c r="W38" i="23"/>
  <c r="D79" i="19"/>
  <c r="W12" i="23"/>
  <c r="X12" i="23"/>
  <c r="X28" i="23"/>
  <c r="E169" i="31" s="1"/>
  <c r="W28" i="23"/>
  <c r="E83" i="19"/>
  <c r="W36" i="23"/>
  <c r="X36" i="23"/>
  <c r="X11" i="23"/>
  <c r="W11" i="23"/>
  <c r="X15" i="23"/>
  <c r="W15" i="23"/>
  <c r="X19" i="23"/>
  <c r="W19" i="23"/>
  <c r="W31" i="23"/>
  <c r="X31" i="23"/>
  <c r="E82" i="19"/>
  <c r="X35" i="23"/>
  <c r="W35" i="23"/>
  <c r="X39" i="23"/>
  <c r="W39" i="23"/>
  <c r="D78" i="19"/>
  <c r="E78" i="19"/>
  <c r="S21" i="23"/>
  <c r="D86" i="19"/>
  <c r="U21" i="23"/>
  <c r="U41" i="23"/>
  <c r="D82" i="19"/>
  <c r="E86" i="19"/>
  <c r="C48" i="29"/>
  <c r="L30" i="31" s="1"/>
  <c r="L29" i="19"/>
  <c r="S41" i="23"/>
  <c r="T21" i="23"/>
  <c r="T41" i="23"/>
  <c r="D75" i="19"/>
  <c r="D87" i="19"/>
  <c r="E75" i="19"/>
  <c r="E87" i="19"/>
  <c r="M169" i="31" l="1"/>
  <c r="C140" i="30"/>
  <c r="M82" i="19"/>
  <c r="N82" i="19" s="1"/>
  <c r="O82" i="19" s="1"/>
  <c r="M80" i="19"/>
  <c r="N80" i="19" s="1"/>
  <c r="O80" i="19" s="1"/>
  <c r="D175" i="19"/>
  <c r="D175" i="31"/>
  <c r="E128" i="19"/>
  <c r="E140" i="19" s="1"/>
  <c r="E8" i="31"/>
  <c r="E20" i="31" s="1"/>
  <c r="E32" i="31" s="1"/>
  <c r="E44" i="31" s="1"/>
  <c r="E56" i="31" s="1"/>
  <c r="E68" i="31" s="1"/>
  <c r="E80" i="31" s="1"/>
  <c r="E92" i="31" s="1"/>
  <c r="E104" i="31" s="1"/>
  <c r="E128" i="31"/>
  <c r="E140" i="31" s="1"/>
  <c r="E124" i="19"/>
  <c r="E136" i="19" s="1"/>
  <c r="E4" i="31"/>
  <c r="E16" i="31" s="1"/>
  <c r="E28" i="31" s="1"/>
  <c r="E40" i="31" s="1"/>
  <c r="E52" i="31" s="1"/>
  <c r="E64" i="31" s="1"/>
  <c r="E76" i="31" s="1"/>
  <c r="E88" i="31" s="1"/>
  <c r="E100" i="31" s="1"/>
  <c r="E112" i="31" s="1"/>
  <c r="E124" i="31"/>
  <c r="E136" i="31" s="1"/>
  <c r="D124" i="19"/>
  <c r="D4" i="31"/>
  <c r="D124" i="31"/>
  <c r="E127" i="19"/>
  <c r="E139" i="19" s="1"/>
  <c r="E127" i="31"/>
  <c r="E139" i="31" s="1"/>
  <c r="E7" i="31"/>
  <c r="E19" i="31" s="1"/>
  <c r="E31" i="31" s="1"/>
  <c r="E43" i="31" s="1"/>
  <c r="E55" i="31" s="1"/>
  <c r="E67" i="31" s="1"/>
  <c r="E79" i="31" s="1"/>
  <c r="E91" i="31" s="1"/>
  <c r="E103" i="31" s="1"/>
  <c r="E115" i="31" s="1"/>
  <c r="E180" i="19"/>
  <c r="E180" i="31"/>
  <c r="E172" i="19"/>
  <c r="E172" i="31"/>
  <c r="D130" i="19"/>
  <c r="D10" i="31"/>
  <c r="D130" i="31"/>
  <c r="E177" i="19"/>
  <c r="E177" i="31"/>
  <c r="E133" i="19"/>
  <c r="E145" i="19" s="1"/>
  <c r="E133" i="31"/>
  <c r="E145" i="31" s="1"/>
  <c r="E13" i="31"/>
  <c r="E25" i="31" s="1"/>
  <c r="E37" i="31" s="1"/>
  <c r="E49" i="31" s="1"/>
  <c r="E61" i="31" s="1"/>
  <c r="E73" i="31" s="1"/>
  <c r="E85" i="31" s="1"/>
  <c r="E97" i="31" s="1"/>
  <c r="E109" i="31" s="1"/>
  <c r="E121" i="31" s="1"/>
  <c r="E175" i="19"/>
  <c r="E175" i="31"/>
  <c r="D129" i="19"/>
  <c r="D129" i="31"/>
  <c r="D9" i="31"/>
  <c r="D21" i="31" s="1"/>
  <c r="D171" i="19"/>
  <c r="D171" i="31"/>
  <c r="E170" i="19"/>
  <c r="E170" i="31"/>
  <c r="D178" i="19"/>
  <c r="D178" i="31"/>
  <c r="E173" i="19"/>
  <c r="E173" i="31"/>
  <c r="D177" i="19"/>
  <c r="D177" i="31"/>
  <c r="E130" i="19"/>
  <c r="E142" i="19" s="1"/>
  <c r="E10" i="31"/>
  <c r="E22" i="31" s="1"/>
  <c r="E130" i="31"/>
  <c r="E142" i="31" s="1"/>
  <c r="E126" i="19"/>
  <c r="E138" i="19" s="1"/>
  <c r="E6" i="31"/>
  <c r="E126" i="31"/>
  <c r="E138" i="31" s="1"/>
  <c r="D176" i="19"/>
  <c r="D176" i="31"/>
  <c r="E131" i="19"/>
  <c r="E143" i="19" s="1"/>
  <c r="E131" i="31"/>
  <c r="E143" i="31" s="1"/>
  <c r="E11" i="31"/>
  <c r="E23" i="31" s="1"/>
  <c r="E35" i="31" s="1"/>
  <c r="E47" i="31" s="1"/>
  <c r="E59" i="31" s="1"/>
  <c r="E71" i="31" s="1"/>
  <c r="E83" i="31" s="1"/>
  <c r="E95" i="31" s="1"/>
  <c r="E107" i="31" s="1"/>
  <c r="E119" i="31" s="1"/>
  <c r="D173" i="19"/>
  <c r="D173" i="31"/>
  <c r="E179" i="19"/>
  <c r="E179" i="31"/>
  <c r="D133" i="19"/>
  <c r="D145" i="19" s="1"/>
  <c r="D13" i="31"/>
  <c r="D133" i="31"/>
  <c r="E176" i="19"/>
  <c r="E176" i="31"/>
  <c r="D134" i="19"/>
  <c r="D14" i="31"/>
  <c r="D134" i="31"/>
  <c r="D126" i="19"/>
  <c r="D138" i="19" s="1"/>
  <c r="M138" i="19" s="1"/>
  <c r="D6" i="31"/>
  <c r="D18" i="31" s="1"/>
  <c r="D126" i="31"/>
  <c r="D127" i="19"/>
  <c r="M127" i="19" s="1"/>
  <c r="D7" i="31"/>
  <c r="D127" i="31"/>
  <c r="E125" i="19"/>
  <c r="E137" i="19" s="1"/>
  <c r="E125" i="31"/>
  <c r="E137" i="31" s="1"/>
  <c r="E5" i="31"/>
  <c r="E17" i="31" s="1"/>
  <c r="E29" i="31" s="1"/>
  <c r="E41" i="31" s="1"/>
  <c r="E53" i="31" s="1"/>
  <c r="E65" i="31" s="1"/>
  <c r="E77" i="31" s="1"/>
  <c r="E89" i="31" s="1"/>
  <c r="E101" i="31" s="1"/>
  <c r="E113" i="31" s="1"/>
  <c r="D179" i="19"/>
  <c r="D179" i="31"/>
  <c r="E178" i="19"/>
  <c r="E178" i="31"/>
  <c r="E174" i="19"/>
  <c r="E174" i="31"/>
  <c r="D128" i="19"/>
  <c r="D140" i="19" s="1"/>
  <c r="D8" i="31"/>
  <c r="D128" i="31"/>
  <c r="D170" i="19"/>
  <c r="D170" i="31"/>
  <c r="E134" i="19"/>
  <c r="E146" i="19" s="1"/>
  <c r="E14" i="31"/>
  <c r="E26" i="31" s="1"/>
  <c r="E38" i="31" s="1"/>
  <c r="E50" i="31" s="1"/>
  <c r="E62" i="31" s="1"/>
  <c r="E74" i="31" s="1"/>
  <c r="E86" i="31" s="1"/>
  <c r="E98" i="31" s="1"/>
  <c r="E110" i="31" s="1"/>
  <c r="E122" i="31" s="1"/>
  <c r="E134" i="31"/>
  <c r="E146" i="31" s="1"/>
  <c r="D180" i="19"/>
  <c r="D180" i="31"/>
  <c r="D172" i="19"/>
  <c r="D172" i="31"/>
  <c r="E123" i="19"/>
  <c r="E135" i="19" s="1"/>
  <c r="E3" i="31"/>
  <c r="E15" i="31" s="1"/>
  <c r="E27" i="31" s="1"/>
  <c r="E39" i="31" s="1"/>
  <c r="E51" i="31" s="1"/>
  <c r="E63" i="31" s="1"/>
  <c r="E75" i="31" s="1"/>
  <c r="E87" i="31" s="1"/>
  <c r="E99" i="31" s="1"/>
  <c r="E111" i="31" s="1"/>
  <c r="E123" i="31"/>
  <c r="E135" i="31" s="1"/>
  <c r="E129" i="19"/>
  <c r="E141" i="19" s="1"/>
  <c r="E129" i="31"/>
  <c r="E141" i="31" s="1"/>
  <c r="E9" i="31"/>
  <c r="E171" i="19"/>
  <c r="E171" i="31"/>
  <c r="D125" i="19"/>
  <c r="D137" i="19" s="1"/>
  <c r="D5" i="31"/>
  <c r="D125" i="31"/>
  <c r="E132" i="19"/>
  <c r="E144" i="19" s="1"/>
  <c r="E12" i="31"/>
  <c r="E24" i="31" s="1"/>
  <c r="E36" i="31" s="1"/>
  <c r="E48" i="31" s="1"/>
  <c r="E60" i="31" s="1"/>
  <c r="E72" i="31" s="1"/>
  <c r="E84" i="31" s="1"/>
  <c r="E96" i="31" s="1"/>
  <c r="E108" i="31" s="1"/>
  <c r="E132" i="31"/>
  <c r="E144" i="31" s="1"/>
  <c r="D132" i="19"/>
  <c r="D12" i="31"/>
  <c r="D132" i="31"/>
  <c r="D174" i="19"/>
  <c r="D174" i="31"/>
  <c r="D131" i="19"/>
  <c r="D131" i="31"/>
  <c r="D11" i="31"/>
  <c r="D123" i="19"/>
  <c r="D135" i="19" s="1"/>
  <c r="D123" i="31"/>
  <c r="D3" i="31"/>
  <c r="M83" i="19"/>
  <c r="N83" i="19" s="1"/>
  <c r="O83" i="19" s="1"/>
  <c r="M79" i="19"/>
  <c r="N79" i="19" s="1"/>
  <c r="O79" i="19" s="1"/>
  <c r="E169" i="19"/>
  <c r="X41" i="23"/>
  <c r="M77" i="19"/>
  <c r="N77" i="19" s="1"/>
  <c r="O77" i="19" s="1"/>
  <c r="M84" i="19"/>
  <c r="N84" i="19" s="1"/>
  <c r="O84" i="19" s="1"/>
  <c r="M81" i="19"/>
  <c r="N81" i="19" s="1"/>
  <c r="O81" i="19" s="1"/>
  <c r="D169" i="19"/>
  <c r="X21" i="23"/>
  <c r="D141" i="19"/>
  <c r="M85" i="19"/>
  <c r="N85" i="19" s="1"/>
  <c r="O85" i="19" s="1"/>
  <c r="M76" i="19"/>
  <c r="N76" i="19" s="1"/>
  <c r="O76" i="19" s="1"/>
  <c r="D143" i="19"/>
  <c r="M87" i="19"/>
  <c r="M78" i="19"/>
  <c r="N78" i="19" s="1"/>
  <c r="O78" i="19" s="1"/>
  <c r="M75" i="19"/>
  <c r="N75" i="19" s="1"/>
  <c r="O75" i="19" s="1"/>
  <c r="M86" i="19"/>
  <c r="N86" i="19" s="1"/>
  <c r="O86" i="19" s="1"/>
  <c r="W21" i="23"/>
  <c r="W41" i="23"/>
  <c r="C49" i="29"/>
  <c r="L31" i="31" s="1"/>
  <c r="L30" i="19"/>
  <c r="D139" i="19" l="1"/>
  <c r="M139" i="19" s="1"/>
  <c r="M126" i="19"/>
  <c r="M172" i="31"/>
  <c r="M179" i="31"/>
  <c r="M180" i="31"/>
  <c r="M145" i="19"/>
  <c r="M175" i="31"/>
  <c r="M143" i="19"/>
  <c r="M131" i="19"/>
  <c r="M130" i="19"/>
  <c r="M124" i="19"/>
  <c r="M156" i="19"/>
  <c r="C139" i="30" s="1"/>
  <c r="N87" i="19"/>
  <c r="O87" i="19" s="1"/>
  <c r="M140" i="19"/>
  <c r="D136" i="19"/>
  <c r="M136" i="19" s="1"/>
  <c r="M133" i="19"/>
  <c r="M123" i="19"/>
  <c r="M135" i="19"/>
  <c r="M132" i="19"/>
  <c r="M134" i="19"/>
  <c r="D135" i="31"/>
  <c r="M135" i="31" s="1"/>
  <c r="M123" i="31"/>
  <c r="D24" i="31"/>
  <c r="M12" i="31"/>
  <c r="D138" i="31"/>
  <c r="M138" i="31" s="1"/>
  <c r="M126" i="31"/>
  <c r="M14" i="31"/>
  <c r="D26" i="31"/>
  <c r="D145" i="31"/>
  <c r="M145" i="31" s="1"/>
  <c r="M133" i="31"/>
  <c r="E34" i="31"/>
  <c r="E46" i="31" s="1"/>
  <c r="E58" i="31" s="1"/>
  <c r="E70" i="31" s="1"/>
  <c r="E82" i="31" s="1"/>
  <c r="E94" i="31" s="1"/>
  <c r="E106" i="31" s="1"/>
  <c r="E118" i="31" s="1"/>
  <c r="D33" i="31"/>
  <c r="E116" i="31"/>
  <c r="M141" i="19"/>
  <c r="M174" i="31"/>
  <c r="D137" i="31"/>
  <c r="M137" i="31" s="1"/>
  <c r="M125" i="31"/>
  <c r="D140" i="31"/>
  <c r="M140" i="31" s="1"/>
  <c r="M128" i="31"/>
  <c r="D139" i="31"/>
  <c r="M139" i="31" s="1"/>
  <c r="M127" i="31"/>
  <c r="D30" i="31"/>
  <c r="D25" i="31"/>
  <c r="M13" i="31"/>
  <c r="M173" i="31"/>
  <c r="M6" i="31"/>
  <c r="E18" i="31"/>
  <c r="E30" i="31" s="1"/>
  <c r="E42" i="31" s="1"/>
  <c r="E54" i="31" s="1"/>
  <c r="E66" i="31" s="1"/>
  <c r="E78" i="31" s="1"/>
  <c r="E90" i="31" s="1"/>
  <c r="E102" i="31" s="1"/>
  <c r="E114" i="31" s="1"/>
  <c r="D141" i="31"/>
  <c r="M141" i="31" s="1"/>
  <c r="M129" i="31"/>
  <c r="D136" i="31"/>
  <c r="M136" i="31" s="1"/>
  <c r="M124" i="31"/>
  <c r="D144" i="19"/>
  <c r="M144" i="19" s="1"/>
  <c r="D23" i="31"/>
  <c r="M11" i="31"/>
  <c r="D17" i="31"/>
  <c r="M5" i="31"/>
  <c r="M9" i="31"/>
  <c r="E21" i="31"/>
  <c r="E33" i="31" s="1"/>
  <c r="E45" i="31" s="1"/>
  <c r="E57" i="31" s="1"/>
  <c r="E69" i="31" s="1"/>
  <c r="E81" i="31" s="1"/>
  <c r="E93" i="31" s="1"/>
  <c r="E105" i="31" s="1"/>
  <c r="E117" i="31" s="1"/>
  <c r="D20" i="31"/>
  <c r="M8" i="31"/>
  <c r="D19" i="31"/>
  <c r="M7" i="31"/>
  <c r="M176" i="31"/>
  <c r="M177" i="31"/>
  <c r="M178" i="31"/>
  <c r="M171" i="31"/>
  <c r="M129" i="19"/>
  <c r="D142" i="31"/>
  <c r="M130" i="31"/>
  <c r="D16" i="31"/>
  <c r="M4" i="31"/>
  <c r="M137" i="19"/>
  <c r="D146" i="19"/>
  <c r="M146" i="19" s="1"/>
  <c r="D142" i="19"/>
  <c r="M142" i="19" s="1"/>
  <c r="M125" i="19"/>
  <c r="M128" i="19"/>
  <c r="M3" i="31"/>
  <c r="D15" i="31"/>
  <c r="D143" i="31"/>
  <c r="M143" i="31" s="1"/>
  <c r="M131" i="31"/>
  <c r="D144" i="31"/>
  <c r="M144" i="31" s="1"/>
  <c r="M132" i="31"/>
  <c r="E120" i="31"/>
  <c r="M170" i="31"/>
  <c r="D146" i="31"/>
  <c r="M146" i="31" s="1"/>
  <c r="M134" i="31"/>
  <c r="M142" i="31"/>
  <c r="M10" i="31"/>
  <c r="D22" i="31"/>
  <c r="D34" i="31" s="1"/>
  <c r="M155" i="19"/>
  <c r="C50" i="29"/>
  <c r="L32" i="31" s="1"/>
  <c r="L31" i="19"/>
  <c r="M18" i="31" l="1"/>
  <c r="M160" i="19"/>
  <c r="C143" i="30" s="1"/>
  <c r="C138" i="30"/>
  <c r="D46" i="31"/>
  <c r="M34" i="31"/>
  <c r="D28" i="31"/>
  <c r="M16" i="31"/>
  <c r="D27" i="31"/>
  <c r="M15" i="31"/>
  <c r="M149" i="31"/>
  <c r="Q149" i="19" s="1"/>
  <c r="E132" i="30" s="1"/>
  <c r="M30" i="31"/>
  <c r="D42" i="31"/>
  <c r="M26" i="31"/>
  <c r="D38" i="31"/>
  <c r="N180" i="31"/>
  <c r="D31" i="31"/>
  <c r="M19" i="31"/>
  <c r="D35" i="31"/>
  <c r="M23" i="31"/>
  <c r="M22" i="31"/>
  <c r="D36" i="31"/>
  <c r="M24" i="31"/>
  <c r="M21" i="31"/>
  <c r="M159" i="31"/>
  <c r="Q159" i="19" s="1"/>
  <c r="E142" i="30" s="1"/>
  <c r="D32" i="31"/>
  <c r="M20" i="31"/>
  <c r="D29" i="31"/>
  <c r="M17" i="31"/>
  <c r="D37" i="31"/>
  <c r="M25" i="31"/>
  <c r="D45" i="31"/>
  <c r="M33" i="31"/>
  <c r="M160" i="31"/>
  <c r="Q160" i="19" s="1"/>
  <c r="E143" i="30" s="1"/>
  <c r="K5" i="11"/>
  <c r="T329" i="30" s="1"/>
  <c r="C15" i="9"/>
  <c r="J5" i="11"/>
  <c r="S329" i="30" s="1"/>
  <c r="C14" i="9"/>
  <c r="C13" i="9"/>
  <c r="I5" i="11"/>
  <c r="R329" i="30" s="1"/>
  <c r="C51" i="29"/>
  <c r="L33" i="31" s="1"/>
  <c r="L32" i="19"/>
  <c r="B157" i="19"/>
  <c r="B156" i="19"/>
  <c r="B155" i="19"/>
  <c r="B13" i="9" l="1"/>
  <c r="B138" i="30"/>
  <c r="D138" i="30" s="1"/>
  <c r="B140" i="30"/>
  <c r="D140" i="30" s="1"/>
  <c r="N157" i="19"/>
  <c r="P157" i="19" s="1"/>
  <c r="B14" i="9"/>
  <c r="B139" i="30"/>
  <c r="D139" i="30" s="1"/>
  <c r="N155" i="19"/>
  <c r="P155" i="19" s="1"/>
  <c r="N156" i="19"/>
  <c r="P156" i="19" s="1"/>
  <c r="F143" i="30"/>
  <c r="R160" i="19"/>
  <c r="N5" i="11"/>
  <c r="W329" i="30" s="1"/>
  <c r="C18" i="9"/>
  <c r="D44" i="31"/>
  <c r="M32" i="31"/>
  <c r="D48" i="31"/>
  <c r="M36" i="31"/>
  <c r="D50" i="31"/>
  <c r="M38" i="31"/>
  <c r="D57" i="31"/>
  <c r="M45" i="31"/>
  <c r="D43" i="31"/>
  <c r="M31" i="31"/>
  <c r="D40" i="31"/>
  <c r="M28" i="31"/>
  <c r="D41" i="31"/>
  <c r="M29" i="31"/>
  <c r="M150" i="31"/>
  <c r="Q150" i="19" s="1"/>
  <c r="E133" i="30" s="1"/>
  <c r="D49" i="31"/>
  <c r="M37" i="31"/>
  <c r="D47" i="31"/>
  <c r="M35" i="31"/>
  <c r="D54" i="31"/>
  <c r="M42" i="31"/>
  <c r="D39" i="31"/>
  <c r="M27" i="31"/>
  <c r="D58" i="31"/>
  <c r="M46" i="31"/>
  <c r="B15" i="9"/>
  <c r="F15" i="9" s="1"/>
  <c r="J4" i="11"/>
  <c r="S328" i="30" s="1"/>
  <c r="F14" i="9"/>
  <c r="I4" i="11"/>
  <c r="F13" i="9"/>
  <c r="J6" i="11"/>
  <c r="S330" i="30" s="1"/>
  <c r="K4" i="11"/>
  <c r="T328" i="30" s="1"/>
  <c r="C52" i="29"/>
  <c r="L34" i="31" s="1"/>
  <c r="L33" i="19"/>
  <c r="H18" i="28"/>
  <c r="H14" i="28"/>
  <c r="H11" i="28"/>
  <c r="H29" i="9"/>
  <c r="I28" i="9"/>
  <c r="I27" i="9"/>
  <c r="I26" i="9"/>
  <c r="H26" i="9"/>
  <c r="B15" i="11"/>
  <c r="E24" i="11"/>
  <c r="B24" i="11"/>
  <c r="D17" i="18"/>
  <c r="K30" i="9"/>
  <c r="K27" i="9"/>
  <c r="K26" i="9"/>
  <c r="H33" i="11"/>
  <c r="F41" i="11"/>
  <c r="E41" i="11"/>
  <c r="F38" i="11"/>
  <c r="C33" i="11"/>
  <c r="D33" i="11"/>
  <c r="C38" i="11"/>
  <c r="D41" i="11"/>
  <c r="H73" i="30" s="1"/>
  <c r="G41" i="11"/>
  <c r="E33" i="11"/>
  <c r="F33" i="11"/>
  <c r="G33" i="11"/>
  <c r="D38" i="11"/>
  <c r="E38" i="11"/>
  <c r="G38" i="11"/>
  <c r="H38" i="11"/>
  <c r="B33" i="11"/>
  <c r="D63" i="19"/>
  <c r="E63" i="19"/>
  <c r="D64" i="19"/>
  <c r="E64" i="19"/>
  <c r="D65" i="19"/>
  <c r="E65" i="19"/>
  <c r="D66" i="19"/>
  <c r="E66" i="19"/>
  <c r="D67" i="19"/>
  <c r="E67" i="19"/>
  <c r="D68" i="19"/>
  <c r="E68" i="19"/>
  <c r="D69" i="19"/>
  <c r="E69" i="19"/>
  <c r="D70" i="19"/>
  <c r="E70" i="19"/>
  <c r="D71" i="19"/>
  <c r="E71" i="19"/>
  <c r="D72" i="19"/>
  <c r="E72" i="19"/>
  <c r="D73" i="19"/>
  <c r="E73" i="19"/>
  <c r="D74" i="19"/>
  <c r="E74" i="19"/>
  <c r="B154" i="19"/>
  <c r="E22" i="18"/>
  <c r="E21" i="18"/>
  <c r="G42" i="11"/>
  <c r="D43" i="11"/>
  <c r="E19" i="18"/>
  <c r="E42" i="11"/>
  <c r="E20" i="18"/>
  <c r="F42" i="11"/>
  <c r="H61" i="9"/>
  <c r="D3" i="19"/>
  <c r="D15" i="19"/>
  <c r="D27" i="19"/>
  <c r="D39" i="19"/>
  <c r="D51" i="19"/>
  <c r="E3" i="19"/>
  <c r="E15" i="19"/>
  <c r="E27" i="19"/>
  <c r="E39" i="19"/>
  <c r="E51" i="19"/>
  <c r="D4" i="19"/>
  <c r="D16" i="19"/>
  <c r="D28" i="19"/>
  <c r="D40" i="19"/>
  <c r="D52" i="19"/>
  <c r="E4" i="19"/>
  <c r="E16" i="19"/>
  <c r="E28" i="19"/>
  <c r="E40" i="19"/>
  <c r="E52" i="19"/>
  <c r="D5" i="19"/>
  <c r="D17" i="19"/>
  <c r="D29" i="19"/>
  <c r="D41" i="19"/>
  <c r="D53" i="19"/>
  <c r="E5" i="19"/>
  <c r="E17" i="19"/>
  <c r="E29" i="19"/>
  <c r="E41" i="19"/>
  <c r="E53" i="19"/>
  <c r="D6" i="19"/>
  <c r="D18" i="19"/>
  <c r="D30" i="19"/>
  <c r="D42" i="19"/>
  <c r="D54" i="19"/>
  <c r="E6" i="19"/>
  <c r="E18" i="19"/>
  <c r="E30" i="19"/>
  <c r="E42" i="19"/>
  <c r="E54" i="19"/>
  <c r="D7" i="19"/>
  <c r="D19" i="19"/>
  <c r="D31" i="19"/>
  <c r="D43" i="19"/>
  <c r="D55" i="19"/>
  <c r="E7" i="19"/>
  <c r="E19" i="19"/>
  <c r="E31" i="19"/>
  <c r="E43" i="19"/>
  <c r="E55" i="19"/>
  <c r="D8" i="19"/>
  <c r="D20" i="19"/>
  <c r="D32" i="19"/>
  <c r="D44" i="19"/>
  <c r="D56" i="19"/>
  <c r="E8" i="19"/>
  <c r="E20" i="19"/>
  <c r="E32" i="19"/>
  <c r="E44" i="19"/>
  <c r="E56" i="19"/>
  <c r="D9" i="19"/>
  <c r="D21" i="19"/>
  <c r="D33" i="19"/>
  <c r="D45" i="19"/>
  <c r="D57" i="19"/>
  <c r="E9" i="19"/>
  <c r="E21" i="19"/>
  <c r="E33" i="19"/>
  <c r="E45" i="19"/>
  <c r="E57" i="19"/>
  <c r="D10" i="19"/>
  <c r="D22" i="19"/>
  <c r="D34" i="19"/>
  <c r="D46" i="19"/>
  <c r="D58" i="19"/>
  <c r="E10" i="19"/>
  <c r="E22" i="19"/>
  <c r="E34" i="19"/>
  <c r="E46" i="19"/>
  <c r="E58" i="19"/>
  <c r="D11" i="19"/>
  <c r="D23" i="19"/>
  <c r="D35" i="19"/>
  <c r="D47" i="19"/>
  <c r="D59" i="19"/>
  <c r="E11" i="19"/>
  <c r="E23" i="19"/>
  <c r="E35" i="19"/>
  <c r="E47" i="19"/>
  <c r="E59" i="19"/>
  <c r="D12" i="19"/>
  <c r="D24" i="19"/>
  <c r="D36" i="19"/>
  <c r="D48" i="19"/>
  <c r="D60" i="19"/>
  <c r="E12" i="19"/>
  <c r="E24" i="19"/>
  <c r="E36" i="19"/>
  <c r="E48" i="19"/>
  <c r="E60" i="19"/>
  <c r="D13" i="19"/>
  <c r="D25" i="19"/>
  <c r="D37" i="19"/>
  <c r="D49" i="19"/>
  <c r="D61" i="19"/>
  <c r="E13" i="19"/>
  <c r="E25" i="19"/>
  <c r="E37" i="19"/>
  <c r="E49" i="19"/>
  <c r="E61" i="19"/>
  <c r="D14" i="19"/>
  <c r="D26" i="19"/>
  <c r="D38" i="19"/>
  <c r="D50" i="19"/>
  <c r="D62" i="19"/>
  <c r="E14" i="19"/>
  <c r="E26" i="19"/>
  <c r="E38" i="19"/>
  <c r="E50" i="19"/>
  <c r="E62" i="19"/>
  <c r="B149" i="19"/>
  <c r="B150" i="19"/>
  <c r="B151" i="19"/>
  <c r="B152" i="19"/>
  <c r="B153" i="19"/>
  <c r="H41" i="11"/>
  <c r="A12" i="9"/>
  <c r="A30" i="9" s="1"/>
  <c r="R25" i="23"/>
  <c r="R41" i="23"/>
  <c r="R21" i="23"/>
  <c r="B38" i="11"/>
  <c r="A40" i="11"/>
  <c r="H2" i="17"/>
  <c r="E1" i="18" s="1"/>
  <c r="B8" i="17"/>
  <c r="I8" i="17" s="1"/>
  <c r="G14" i="11"/>
  <c r="B4" i="17"/>
  <c r="I4" i="17" s="1"/>
  <c r="B5" i="17"/>
  <c r="I5" i="17" s="1"/>
  <c r="J20" i="31" s="1"/>
  <c r="B6" i="17"/>
  <c r="B7" i="17"/>
  <c r="C18" i="11"/>
  <c r="D18" i="11"/>
  <c r="E18" i="11"/>
  <c r="G22" i="11"/>
  <c r="B22" i="11"/>
  <c r="E22" i="11"/>
  <c r="B36" i="11"/>
  <c r="A13" i="11"/>
  <c r="B42" i="30" s="1"/>
  <c r="B71" i="30" s="1"/>
  <c r="B148" i="30" s="1"/>
  <c r="A17" i="11"/>
  <c r="C42" i="30" s="1"/>
  <c r="C71" i="30" s="1"/>
  <c r="C148" i="30" s="1"/>
  <c r="D2" i="17"/>
  <c r="B1" i="18" s="1"/>
  <c r="A26" i="11"/>
  <c r="F2" i="17"/>
  <c r="G2" i="17"/>
  <c r="D1" i="18" s="1"/>
  <c r="B41" i="23"/>
  <c r="B21" i="23"/>
  <c r="B5" i="23"/>
  <c r="C5" i="23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C41" i="23"/>
  <c r="D41" i="23"/>
  <c r="E41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A7" i="9"/>
  <c r="A25" i="9" s="1"/>
  <c r="A8" i="9"/>
  <c r="A26" i="9" s="1"/>
  <c r="A9" i="9"/>
  <c r="A27" i="9" s="1"/>
  <c r="A10" i="9"/>
  <c r="A28" i="9" s="1"/>
  <c r="A11" i="9"/>
  <c r="A29" i="9" s="1"/>
  <c r="D32" i="11"/>
  <c r="C27" i="11"/>
  <c r="E32" i="11"/>
  <c r="E27" i="11"/>
  <c r="H27" i="11"/>
  <c r="D36" i="11"/>
  <c r="G32" i="11"/>
  <c r="B27" i="11"/>
  <c r="C14" i="11"/>
  <c r="B18" i="11"/>
  <c r="D27" i="11"/>
  <c r="E29" i="11"/>
  <c r="B163" i="19" l="1"/>
  <c r="B135" i="30"/>
  <c r="B10" i="9"/>
  <c r="B134" i="30"/>
  <c r="B9" i="9"/>
  <c r="B137" i="30"/>
  <c r="B12" i="9"/>
  <c r="B133" i="30"/>
  <c r="B8" i="9"/>
  <c r="B136" i="30"/>
  <c r="B11" i="9"/>
  <c r="B7" i="9"/>
  <c r="B132" i="30"/>
  <c r="J40" i="17"/>
  <c r="D9" i="28"/>
  <c r="R328" i="30"/>
  <c r="C178" i="30"/>
  <c r="C184" i="30" s="1"/>
  <c r="C198" i="30" s="1"/>
  <c r="C213" i="30" s="1"/>
  <c r="C219" i="30" s="1"/>
  <c r="C225" i="30" s="1"/>
  <c r="C274" i="30" s="1"/>
  <c r="C163" i="30"/>
  <c r="F9" i="28"/>
  <c r="F10" i="28" s="1"/>
  <c r="F12" i="28" s="1"/>
  <c r="E9" i="28"/>
  <c r="E10" i="28" s="1"/>
  <c r="E12" i="28" s="1"/>
  <c r="M62" i="19"/>
  <c r="N62" i="19" s="1"/>
  <c r="O62" i="19" s="1"/>
  <c r="M14" i="19"/>
  <c r="N14" i="19" s="1"/>
  <c r="O14" i="19" s="1"/>
  <c r="M37" i="19"/>
  <c r="N37" i="19" s="1"/>
  <c r="O37" i="19" s="1"/>
  <c r="M60" i="19"/>
  <c r="N60" i="19" s="1"/>
  <c r="O60" i="19" s="1"/>
  <c r="M12" i="19"/>
  <c r="N12" i="19" s="1"/>
  <c r="O12" i="19" s="1"/>
  <c r="M35" i="19"/>
  <c r="N35" i="19" s="1"/>
  <c r="O35" i="19" s="1"/>
  <c r="M58" i="19"/>
  <c r="N58" i="19" s="1"/>
  <c r="O58" i="19" s="1"/>
  <c r="M10" i="19"/>
  <c r="N10" i="19" s="1"/>
  <c r="O10" i="19" s="1"/>
  <c r="M33" i="19"/>
  <c r="N33" i="19" s="1"/>
  <c r="O33" i="19" s="1"/>
  <c r="M56" i="19"/>
  <c r="N56" i="19" s="1"/>
  <c r="O56" i="19" s="1"/>
  <c r="M8" i="19"/>
  <c r="N8" i="19" s="1"/>
  <c r="O8" i="19" s="1"/>
  <c r="M31" i="19"/>
  <c r="N31" i="19" s="1"/>
  <c r="O31" i="19" s="1"/>
  <c r="M54" i="19"/>
  <c r="N54" i="19" s="1"/>
  <c r="O54" i="19" s="1"/>
  <c r="M6" i="19"/>
  <c r="N6" i="19" s="1"/>
  <c r="O6" i="19" s="1"/>
  <c r="M29" i="19"/>
  <c r="N29" i="19" s="1"/>
  <c r="O29" i="19" s="1"/>
  <c r="M52" i="19"/>
  <c r="N52" i="19" s="1"/>
  <c r="O52" i="19" s="1"/>
  <c r="M4" i="19"/>
  <c r="N4" i="19" s="1"/>
  <c r="O4" i="19" s="1"/>
  <c r="M27" i="19"/>
  <c r="N27" i="19" s="1"/>
  <c r="O27" i="19" s="1"/>
  <c r="J9" i="31"/>
  <c r="J10" i="31" s="1"/>
  <c r="J11" i="31" s="1"/>
  <c r="J12" i="31" s="1"/>
  <c r="J13" i="31" s="1"/>
  <c r="J14" i="31" s="1"/>
  <c r="J15" i="31" s="1"/>
  <c r="J16" i="31" s="1"/>
  <c r="J17" i="31" s="1"/>
  <c r="J18" i="31" s="1"/>
  <c r="J19" i="31" s="1"/>
  <c r="J21" i="31"/>
  <c r="J22" i="31" s="1"/>
  <c r="J23" i="31" s="1"/>
  <c r="J24" i="31" s="1"/>
  <c r="J25" i="31" s="1"/>
  <c r="J26" i="31" s="1"/>
  <c r="J27" i="31" s="1"/>
  <c r="J28" i="31" s="1"/>
  <c r="J29" i="31" s="1"/>
  <c r="J30" i="31" s="1"/>
  <c r="J31" i="31" s="1"/>
  <c r="H87" i="30"/>
  <c r="H187" i="30" s="1"/>
  <c r="H202" i="30" s="1"/>
  <c r="I73" i="30"/>
  <c r="B163" i="30"/>
  <c r="B178" i="30"/>
  <c r="B184" i="30" s="1"/>
  <c r="B198" i="30" s="1"/>
  <c r="D70" i="31"/>
  <c r="M58" i="31"/>
  <c r="D66" i="31"/>
  <c r="M54" i="31"/>
  <c r="D61" i="31"/>
  <c r="M49" i="31"/>
  <c r="D53" i="31"/>
  <c r="M41" i="31"/>
  <c r="D60" i="31"/>
  <c r="M48" i="31"/>
  <c r="M151" i="31"/>
  <c r="Q151" i="19" s="1"/>
  <c r="E134" i="30" s="1"/>
  <c r="D51" i="31"/>
  <c r="M39" i="31"/>
  <c r="D59" i="31"/>
  <c r="M47" i="31"/>
  <c r="D52" i="31"/>
  <c r="M40" i="31"/>
  <c r="D55" i="31"/>
  <c r="M43" i="31"/>
  <c r="D62" i="31"/>
  <c r="M50" i="31"/>
  <c r="D56" i="31"/>
  <c r="M44" i="31"/>
  <c r="D69" i="31"/>
  <c r="M57" i="31"/>
  <c r="K40" i="9"/>
  <c r="I41" i="9"/>
  <c r="I40" i="9"/>
  <c r="K44" i="9"/>
  <c r="M61" i="19"/>
  <c r="N61" i="19" s="1"/>
  <c r="O61" i="19" s="1"/>
  <c r="M36" i="19"/>
  <c r="N36" i="19" s="1"/>
  <c r="O36" i="19" s="1"/>
  <c r="M59" i="19"/>
  <c r="N59" i="19" s="1"/>
  <c r="O59" i="19" s="1"/>
  <c r="M34" i="19"/>
  <c r="N34" i="19" s="1"/>
  <c r="O34" i="19" s="1"/>
  <c r="M9" i="19"/>
  <c r="N9" i="19" s="1"/>
  <c r="O9" i="19" s="1"/>
  <c r="M55" i="19"/>
  <c r="N55" i="19" s="1"/>
  <c r="O55" i="19" s="1"/>
  <c r="M7" i="19"/>
  <c r="N7" i="19" s="1"/>
  <c r="O7" i="19" s="1"/>
  <c r="M30" i="19"/>
  <c r="N30" i="19" s="1"/>
  <c r="O30" i="19" s="1"/>
  <c r="M53" i="19"/>
  <c r="N53" i="19" s="1"/>
  <c r="O53" i="19" s="1"/>
  <c r="M5" i="19"/>
  <c r="N5" i="19" s="1"/>
  <c r="O5" i="19" s="1"/>
  <c r="M28" i="19"/>
  <c r="N28" i="19" s="1"/>
  <c r="O28" i="19" s="1"/>
  <c r="M51" i="19"/>
  <c r="N51" i="19" s="1"/>
  <c r="O51" i="19" s="1"/>
  <c r="M38" i="19"/>
  <c r="N38" i="19" s="1"/>
  <c r="O38" i="19" s="1"/>
  <c r="M13" i="19"/>
  <c r="N13" i="19" s="1"/>
  <c r="O13" i="19" s="1"/>
  <c r="M11" i="19"/>
  <c r="N11" i="19" s="1"/>
  <c r="O11" i="19" s="1"/>
  <c r="M57" i="19"/>
  <c r="N57" i="19" s="1"/>
  <c r="O57" i="19" s="1"/>
  <c r="M32" i="19"/>
  <c r="N32" i="19" s="1"/>
  <c r="O32" i="19" s="1"/>
  <c r="M50" i="19"/>
  <c r="N50" i="19" s="1"/>
  <c r="O50" i="19" s="1"/>
  <c r="M25" i="19"/>
  <c r="N25" i="19" s="1"/>
  <c r="O25" i="19" s="1"/>
  <c r="M48" i="19"/>
  <c r="N48" i="19" s="1"/>
  <c r="O48" i="19" s="1"/>
  <c r="M23" i="19"/>
  <c r="N23" i="19" s="1"/>
  <c r="O23" i="19" s="1"/>
  <c r="M46" i="19"/>
  <c r="N46" i="19" s="1"/>
  <c r="O46" i="19" s="1"/>
  <c r="M21" i="19"/>
  <c r="N21" i="19" s="1"/>
  <c r="O21" i="19" s="1"/>
  <c r="M44" i="19"/>
  <c r="N44" i="19" s="1"/>
  <c r="O44" i="19" s="1"/>
  <c r="M19" i="19"/>
  <c r="N19" i="19" s="1"/>
  <c r="O19" i="19" s="1"/>
  <c r="M42" i="19"/>
  <c r="N42" i="19" s="1"/>
  <c r="O42" i="19" s="1"/>
  <c r="M17" i="19"/>
  <c r="N17" i="19" s="1"/>
  <c r="O17" i="19" s="1"/>
  <c r="M40" i="19"/>
  <c r="N40" i="19" s="1"/>
  <c r="O40" i="19" s="1"/>
  <c r="M15" i="19"/>
  <c r="N15" i="19" s="1"/>
  <c r="O15" i="19" s="1"/>
  <c r="M73" i="19"/>
  <c r="N73" i="19" s="1"/>
  <c r="O73" i="19" s="1"/>
  <c r="M71" i="19"/>
  <c r="N71" i="19" s="1"/>
  <c r="O71" i="19" s="1"/>
  <c r="M69" i="19"/>
  <c r="N69" i="19" s="1"/>
  <c r="O69" i="19" s="1"/>
  <c r="M67" i="19"/>
  <c r="N67" i="19" s="1"/>
  <c r="O67" i="19" s="1"/>
  <c r="M65" i="19"/>
  <c r="N65" i="19" s="1"/>
  <c r="O65" i="19" s="1"/>
  <c r="M63" i="19"/>
  <c r="N63" i="19" s="1"/>
  <c r="O63" i="19" s="1"/>
  <c r="M26" i="19"/>
  <c r="N26" i="19" s="1"/>
  <c r="O26" i="19" s="1"/>
  <c r="M49" i="19"/>
  <c r="N49" i="19" s="1"/>
  <c r="O49" i="19" s="1"/>
  <c r="M24" i="19"/>
  <c r="N24" i="19" s="1"/>
  <c r="O24" i="19" s="1"/>
  <c r="M47" i="19"/>
  <c r="N47" i="19" s="1"/>
  <c r="O47" i="19" s="1"/>
  <c r="M22" i="19"/>
  <c r="N22" i="19" s="1"/>
  <c r="O22" i="19" s="1"/>
  <c r="M45" i="19"/>
  <c r="N45" i="19" s="1"/>
  <c r="O45" i="19" s="1"/>
  <c r="M20" i="19"/>
  <c r="N20" i="19" s="1"/>
  <c r="O20" i="19" s="1"/>
  <c r="M43" i="19"/>
  <c r="N43" i="19" s="1"/>
  <c r="O43" i="19" s="1"/>
  <c r="M18" i="19"/>
  <c r="N18" i="19" s="1"/>
  <c r="O18" i="19" s="1"/>
  <c r="M41" i="19"/>
  <c r="N41" i="19" s="1"/>
  <c r="O41" i="19" s="1"/>
  <c r="M16" i="19"/>
  <c r="N16" i="19" s="1"/>
  <c r="O16" i="19" s="1"/>
  <c r="M39" i="19"/>
  <c r="N39" i="19" s="1"/>
  <c r="O39" i="19" s="1"/>
  <c r="M74" i="19"/>
  <c r="N74" i="19" s="1"/>
  <c r="O74" i="19" s="1"/>
  <c r="M72" i="19"/>
  <c r="N72" i="19" s="1"/>
  <c r="O72" i="19" s="1"/>
  <c r="M70" i="19"/>
  <c r="N70" i="19" s="1"/>
  <c r="O70" i="19" s="1"/>
  <c r="M68" i="19"/>
  <c r="N68" i="19" s="1"/>
  <c r="O68" i="19" s="1"/>
  <c r="M66" i="19"/>
  <c r="N66" i="19" s="1"/>
  <c r="O66" i="19" s="1"/>
  <c r="M64" i="19"/>
  <c r="N64" i="19" s="1"/>
  <c r="O64" i="19" s="1"/>
  <c r="D15" i="9"/>
  <c r="E15" i="9" s="1"/>
  <c r="D13" i="9"/>
  <c r="E13" i="9" s="1"/>
  <c r="G43" i="11"/>
  <c r="F24" i="11"/>
  <c r="C17" i="18"/>
  <c r="C28" i="18" s="1"/>
  <c r="G29" i="11"/>
  <c r="H43" i="11"/>
  <c r="C24" i="11"/>
  <c r="B17" i="18"/>
  <c r="B28" i="18" s="1"/>
  <c r="D29" i="11"/>
  <c r="M29" i="9"/>
  <c r="H24" i="11"/>
  <c r="F4" i="11"/>
  <c r="H4" i="11"/>
  <c r="P328" i="30" s="1"/>
  <c r="I6" i="11"/>
  <c r="R330" i="30" s="1"/>
  <c r="E4" i="11"/>
  <c r="D14" i="9"/>
  <c r="E14" i="9" s="1"/>
  <c r="K6" i="11"/>
  <c r="T330" i="30" s="1"/>
  <c r="C53" i="29"/>
  <c r="L35" i="31" s="1"/>
  <c r="L34" i="19"/>
  <c r="H29" i="11"/>
  <c r="F43" i="11"/>
  <c r="E18" i="18"/>
  <c r="D24" i="11"/>
  <c r="F5" i="18"/>
  <c r="F53" i="11" s="1"/>
  <c r="F6" i="18"/>
  <c r="G53" i="11" s="1"/>
  <c r="C29" i="11"/>
  <c r="F4" i="18"/>
  <c r="E53" i="11" s="1"/>
  <c r="F2" i="18"/>
  <c r="C53" i="11" s="1"/>
  <c r="G24" i="11"/>
  <c r="F29" i="11"/>
  <c r="F7" i="18"/>
  <c r="H53" i="11" s="1"/>
  <c r="F3" i="18"/>
  <c r="D53" i="11" s="1"/>
  <c r="E43" i="11"/>
  <c r="B29" i="11"/>
  <c r="B48" i="11" s="1"/>
  <c r="B53" i="11"/>
  <c r="D19" i="11"/>
  <c r="C37" i="11"/>
  <c r="M25" i="9"/>
  <c r="F23" i="11"/>
  <c r="J28" i="9"/>
  <c r="C28" i="11"/>
  <c r="K25" i="9"/>
  <c r="K39" i="9" s="1"/>
  <c r="D37" i="11"/>
  <c r="M26" i="9"/>
  <c r="H37" i="11"/>
  <c r="M30" i="9"/>
  <c r="F15" i="11"/>
  <c r="H28" i="9"/>
  <c r="H15" i="11"/>
  <c r="J26" i="9"/>
  <c r="H23" i="11"/>
  <c r="B37" i="11"/>
  <c r="M28" i="9"/>
  <c r="C15" i="11"/>
  <c r="H25" i="9"/>
  <c r="H39" i="9" s="1"/>
  <c r="E15" i="11"/>
  <c r="H27" i="9"/>
  <c r="H40" i="9" s="1"/>
  <c r="J27" i="9"/>
  <c r="J40" i="9" s="1"/>
  <c r="K28" i="9"/>
  <c r="K41" i="9" s="1"/>
  <c r="C19" i="11"/>
  <c r="I25" i="9"/>
  <c r="I39" i="9" s="1"/>
  <c r="G19" i="11"/>
  <c r="I29" i="9"/>
  <c r="I42" i="9" s="1"/>
  <c r="G28" i="11"/>
  <c r="K29" i="9"/>
  <c r="K43" i="9" s="1"/>
  <c r="J25" i="9"/>
  <c r="J29" i="9"/>
  <c r="M27" i="9"/>
  <c r="B19" i="11"/>
  <c r="H19" i="11"/>
  <c r="D23" i="11"/>
  <c r="D42" i="11"/>
  <c r="G37" i="11"/>
  <c r="F28" i="11"/>
  <c r="E28" i="11"/>
  <c r="A31" i="11"/>
  <c r="A35" i="11"/>
  <c r="C2" i="17"/>
  <c r="B28" i="11"/>
  <c r="B23" i="11"/>
  <c r="G23" i="11"/>
  <c r="E37" i="11"/>
  <c r="G10" i="9"/>
  <c r="F52" i="11" s="1"/>
  <c r="H10" i="11"/>
  <c r="E19" i="11"/>
  <c r="B10" i="11"/>
  <c r="A21" i="11"/>
  <c r="F37" i="11"/>
  <c r="H42" i="11"/>
  <c r="C23" i="11"/>
  <c r="B2" i="17"/>
  <c r="F19" i="11"/>
  <c r="H28" i="11"/>
  <c r="E23" i="11"/>
  <c r="E2" i="17"/>
  <c r="C1" i="18" s="1"/>
  <c r="I61" i="9"/>
  <c r="D28" i="11"/>
  <c r="D15" i="11"/>
  <c r="G8" i="9"/>
  <c r="G11" i="9"/>
  <c r="G7" i="9"/>
  <c r="G9" i="9"/>
  <c r="G15" i="11"/>
  <c r="M3" i="19"/>
  <c r="N3" i="19" s="1"/>
  <c r="O3" i="19" s="1"/>
  <c r="G10" i="28"/>
  <c r="G12" i="28" s="1"/>
  <c r="C10" i="17"/>
  <c r="C156" i="30" s="1"/>
  <c r="C9" i="17"/>
  <c r="C155" i="30" s="1"/>
  <c r="C170" i="30" s="1"/>
  <c r="I6" i="17"/>
  <c r="D10" i="17"/>
  <c r="D156" i="30" s="1"/>
  <c r="D9" i="17"/>
  <c r="D155" i="30" s="1"/>
  <c r="D170" i="30" s="1"/>
  <c r="F14" i="11"/>
  <c r="I7" i="17"/>
  <c r="B9" i="17"/>
  <c r="B155" i="30" s="1"/>
  <c r="B10" i="17"/>
  <c r="B156" i="30" s="1"/>
  <c r="H32" i="11"/>
  <c r="C36" i="11"/>
  <c r="F36" i="11"/>
  <c r="H36" i="11"/>
  <c r="G36" i="11"/>
  <c r="E36" i="11"/>
  <c r="F22" i="11"/>
  <c r="I3" i="17"/>
  <c r="J4" i="17" s="1"/>
  <c r="K4" i="17" s="1"/>
  <c r="B18" i="17"/>
  <c r="B14" i="11"/>
  <c r="D22" i="11"/>
  <c r="D14" i="11"/>
  <c r="F18" i="11"/>
  <c r="G18" i="11"/>
  <c r="E14" i="11"/>
  <c r="F32" i="11"/>
  <c r="C32" i="11"/>
  <c r="B32" i="11"/>
  <c r="C22" i="11"/>
  <c r="G27" i="11"/>
  <c r="F27" i="11"/>
  <c r="G4" i="11"/>
  <c r="D4" i="11"/>
  <c r="B4" i="11"/>
  <c r="C4" i="11"/>
  <c r="C13" i="28" l="1"/>
  <c r="P336" i="30"/>
  <c r="B33" i="30"/>
  <c r="M152" i="31"/>
  <c r="Q152" i="19" s="1"/>
  <c r="E135" i="30" s="1"/>
  <c r="O123" i="19"/>
  <c r="M116" i="30" s="1"/>
  <c r="B170" i="30"/>
  <c r="I155" i="30"/>
  <c r="G42" i="30"/>
  <c r="G71" i="30" s="1"/>
  <c r="G148" i="30" s="1"/>
  <c r="G178" i="30" s="1"/>
  <c r="G184" i="30" s="1"/>
  <c r="G198" i="30" s="1"/>
  <c r="G213" i="30" s="1"/>
  <c r="G219" i="30" s="1"/>
  <c r="G225" i="30" s="1"/>
  <c r="G274" i="30" s="1"/>
  <c r="O10" i="30"/>
  <c r="AA384" i="30" s="1"/>
  <c r="F42" i="30"/>
  <c r="F71" i="30" s="1"/>
  <c r="O9" i="30"/>
  <c r="AA383" i="30" s="1"/>
  <c r="D42" i="30"/>
  <c r="D71" i="30" s="1"/>
  <c r="D148" i="30" s="1"/>
  <c r="D163" i="30" s="1"/>
  <c r="O347" i="30"/>
  <c r="D172" i="30"/>
  <c r="D171" i="30"/>
  <c r="B172" i="30"/>
  <c r="B171" i="30"/>
  <c r="I156" i="30"/>
  <c r="C171" i="30"/>
  <c r="C172" i="30"/>
  <c r="F148" i="30"/>
  <c r="D10" i="28"/>
  <c r="D12" i="28" s="1"/>
  <c r="C9" i="28"/>
  <c r="H9" i="28" s="1"/>
  <c r="B262" i="30"/>
  <c r="B267" i="30" s="1"/>
  <c r="B213" i="30"/>
  <c r="B219" i="30" s="1"/>
  <c r="B225" i="30" s="1"/>
  <c r="B274" i="30" s="1"/>
  <c r="D23" i="17"/>
  <c r="B23" i="17"/>
  <c r="O343" i="30"/>
  <c r="C262" i="30"/>
  <c r="C267" i="30" s="1"/>
  <c r="D65" i="31"/>
  <c r="M53" i="31"/>
  <c r="M66" i="31"/>
  <c r="D78" i="31"/>
  <c r="D68" i="31"/>
  <c r="M56" i="31"/>
  <c r="D67" i="31"/>
  <c r="M55" i="31"/>
  <c r="D71" i="31"/>
  <c r="M59" i="31"/>
  <c r="D72" i="31"/>
  <c r="M60" i="31"/>
  <c r="D73" i="31"/>
  <c r="M61" i="31"/>
  <c r="D82" i="31"/>
  <c r="M70" i="31"/>
  <c r="D81" i="31"/>
  <c r="M69" i="31"/>
  <c r="M62" i="31"/>
  <c r="D74" i="31"/>
  <c r="D64" i="31"/>
  <c r="M52" i="31"/>
  <c r="D63" i="31"/>
  <c r="M51" i="31"/>
  <c r="M151" i="19"/>
  <c r="M150" i="19"/>
  <c r="M40" i="9"/>
  <c r="M41" i="9"/>
  <c r="M149" i="19"/>
  <c r="M152" i="19"/>
  <c r="M154" i="19"/>
  <c r="M153" i="19"/>
  <c r="J42" i="9"/>
  <c r="J39" i="9"/>
  <c r="M43" i="9"/>
  <c r="M44" i="9"/>
  <c r="K42" i="9"/>
  <c r="K51" i="9" s="1"/>
  <c r="H41" i="9"/>
  <c r="M39" i="9"/>
  <c r="J41" i="9"/>
  <c r="M42" i="9"/>
  <c r="H42" i="9"/>
  <c r="H48" i="11"/>
  <c r="H58" i="11" s="1"/>
  <c r="H14" i="11"/>
  <c r="H30" i="9"/>
  <c r="H43" i="9" s="1"/>
  <c r="G48" i="11"/>
  <c r="G58" i="11" s="1"/>
  <c r="C48" i="11"/>
  <c r="C58" i="11" s="1"/>
  <c r="I10" i="17"/>
  <c r="I14" i="11"/>
  <c r="H31" i="9"/>
  <c r="B24" i="17"/>
  <c r="B25" i="17"/>
  <c r="I18" i="11"/>
  <c r="I31" i="9"/>
  <c r="C25" i="17"/>
  <c r="C24" i="17"/>
  <c r="H18" i="11"/>
  <c r="C23" i="17"/>
  <c r="I22" i="11"/>
  <c r="J31" i="9"/>
  <c r="D25" i="17"/>
  <c r="D24" i="17"/>
  <c r="I30" i="9"/>
  <c r="I43" i="9" s="1"/>
  <c r="J30" i="9"/>
  <c r="J43" i="9" s="1"/>
  <c r="F11" i="9"/>
  <c r="F9" i="9"/>
  <c r="C54" i="29"/>
  <c r="L36" i="31" s="1"/>
  <c r="L35" i="19"/>
  <c r="E48" i="11"/>
  <c r="E58" i="11" s="1"/>
  <c r="D48" i="11"/>
  <c r="D58" i="11" s="1"/>
  <c r="F48" i="11"/>
  <c r="F58" i="11" s="1"/>
  <c r="B58" i="11"/>
  <c r="B47" i="11"/>
  <c r="B52" i="11"/>
  <c r="G15" i="28"/>
  <c r="G16" i="28" s="1"/>
  <c r="G20" i="28" s="1"/>
  <c r="H52" i="11"/>
  <c r="F7" i="9"/>
  <c r="C47" i="11"/>
  <c r="H47" i="11"/>
  <c r="F10" i="11"/>
  <c r="E15" i="28" s="1"/>
  <c r="E16" i="28" s="1"/>
  <c r="E20" i="28" s="1"/>
  <c r="E47" i="11"/>
  <c r="F47" i="11"/>
  <c r="F57" i="11" s="1"/>
  <c r="E52" i="11"/>
  <c r="E10" i="11"/>
  <c r="G10" i="11"/>
  <c r="G52" i="11"/>
  <c r="D52" i="11"/>
  <c r="D10" i="11"/>
  <c r="D47" i="11"/>
  <c r="G47" i="11"/>
  <c r="C52" i="11"/>
  <c r="C10" i="11"/>
  <c r="F12" i="9"/>
  <c r="H22" i="11"/>
  <c r="I9" i="17"/>
  <c r="L49" i="9"/>
  <c r="L35" i="9" s="1"/>
  <c r="L36" i="9" s="1"/>
  <c r="L55" i="9" s="1"/>
  <c r="L63" i="9" s="1"/>
  <c r="F51" i="11"/>
  <c r="J44" i="19"/>
  <c r="C51" i="11"/>
  <c r="J8" i="19"/>
  <c r="F46" i="11"/>
  <c r="B46" i="11"/>
  <c r="E46" i="11"/>
  <c r="G46" i="11"/>
  <c r="J20" i="19"/>
  <c r="D51" i="11"/>
  <c r="C46" i="11"/>
  <c r="J32" i="19"/>
  <c r="E51" i="11"/>
  <c r="J56" i="19"/>
  <c r="G51" i="11"/>
  <c r="D46" i="11"/>
  <c r="F29" i="30" s="1"/>
  <c r="B51" i="11"/>
  <c r="F10" i="9"/>
  <c r="F8" i="9"/>
  <c r="C33" i="30" l="1"/>
  <c r="C34" i="30"/>
  <c r="D178" i="30"/>
  <c r="M153" i="31"/>
  <c r="Q153" i="19" s="1"/>
  <c r="E136" i="30" s="1"/>
  <c r="P344" i="30"/>
  <c r="AG424" i="30" s="1"/>
  <c r="AN424" i="30" s="1"/>
  <c r="C77" i="30"/>
  <c r="C91" i="30" s="1"/>
  <c r="C191" i="30" s="1"/>
  <c r="C205" i="30" s="1"/>
  <c r="R344" i="30"/>
  <c r="AG393" i="30" s="1"/>
  <c r="C78" i="30"/>
  <c r="R340" i="30"/>
  <c r="B78" i="30"/>
  <c r="G163" i="30"/>
  <c r="D77" i="30"/>
  <c r="D91" i="30" s="1"/>
  <c r="D191" i="30" s="1"/>
  <c r="D205" i="30" s="1"/>
  <c r="P348" i="30"/>
  <c r="AG425" i="30" s="1"/>
  <c r="AN425" i="30" s="1"/>
  <c r="AA415" i="30"/>
  <c r="AA446" i="30" s="1"/>
  <c r="AA477" i="30" s="1"/>
  <c r="AA508" i="30" s="1"/>
  <c r="AA539" i="30" s="1"/>
  <c r="AA570" i="30" s="1"/>
  <c r="AF397" i="30"/>
  <c r="P340" i="30"/>
  <c r="B77" i="30"/>
  <c r="AA414" i="30"/>
  <c r="AA445" i="30" s="1"/>
  <c r="AA476" i="30" s="1"/>
  <c r="AA507" i="30" s="1"/>
  <c r="AA538" i="30" s="1"/>
  <c r="AA569" i="30" s="1"/>
  <c r="AF396" i="30"/>
  <c r="D78" i="30"/>
  <c r="R348" i="30"/>
  <c r="AG394" i="30" s="1"/>
  <c r="D289" i="30"/>
  <c r="D319" i="30" s="1"/>
  <c r="O361" i="30"/>
  <c r="D184" i="30"/>
  <c r="D198" i="30" s="1"/>
  <c r="D213" i="30" s="1"/>
  <c r="D219" i="30" s="1"/>
  <c r="D225" i="30" s="1"/>
  <c r="D274" i="30" s="1"/>
  <c r="F163" i="30"/>
  <c r="F178" i="30"/>
  <c r="C134" i="30"/>
  <c r="N151" i="19"/>
  <c r="P151" i="19" s="1"/>
  <c r="R151" i="19"/>
  <c r="C10" i="28"/>
  <c r="C12" i="9"/>
  <c r="D12" i="9" s="1"/>
  <c r="E12" i="9" s="1"/>
  <c r="C137" i="30"/>
  <c r="N154" i="19"/>
  <c r="P154" i="19" s="1"/>
  <c r="C9" i="9"/>
  <c r="D9" i="9" s="1"/>
  <c r="E9" i="9" s="1"/>
  <c r="C10" i="9"/>
  <c r="D10" i="9" s="1"/>
  <c r="E10" i="9" s="1"/>
  <c r="C135" i="30"/>
  <c r="N152" i="19"/>
  <c r="P152" i="19" s="1"/>
  <c r="R152" i="19"/>
  <c r="C8" i="9"/>
  <c r="D8" i="9" s="1"/>
  <c r="E8" i="9" s="1"/>
  <c r="C133" i="30"/>
  <c r="N150" i="19"/>
  <c r="P150" i="19" s="1"/>
  <c r="R150" i="19"/>
  <c r="N149" i="19"/>
  <c r="P149" i="19" s="1"/>
  <c r="C132" i="30"/>
  <c r="R149" i="19"/>
  <c r="C11" i="9"/>
  <c r="D11" i="9" s="1"/>
  <c r="E11" i="9" s="1"/>
  <c r="C136" i="30"/>
  <c r="N153" i="19"/>
  <c r="P153" i="19" s="1"/>
  <c r="R153" i="19"/>
  <c r="G30" i="30"/>
  <c r="G29" i="30"/>
  <c r="D76" i="31"/>
  <c r="M64" i="31"/>
  <c r="D93" i="31"/>
  <c r="M81" i="31"/>
  <c r="D85" i="31"/>
  <c r="M73" i="31"/>
  <c r="D83" i="31"/>
  <c r="M71" i="31"/>
  <c r="D80" i="31"/>
  <c r="M68" i="31"/>
  <c r="D77" i="31"/>
  <c r="M65" i="31"/>
  <c r="H51" i="11"/>
  <c r="J68" i="31"/>
  <c r="J57" i="31" s="1"/>
  <c r="J58" i="31" s="1"/>
  <c r="J59" i="31" s="1"/>
  <c r="J60" i="31" s="1"/>
  <c r="J61" i="31" s="1"/>
  <c r="J62" i="31" s="1"/>
  <c r="J63" i="31" s="1"/>
  <c r="J64" i="31" s="1"/>
  <c r="J65" i="31" s="1"/>
  <c r="J66" i="31" s="1"/>
  <c r="J67" i="31" s="1"/>
  <c r="I51" i="11"/>
  <c r="J80" i="31"/>
  <c r="D86" i="31"/>
  <c r="M74" i="31"/>
  <c r="D90" i="31"/>
  <c r="M78" i="31"/>
  <c r="D75" i="31"/>
  <c r="M63" i="31"/>
  <c r="D94" i="31"/>
  <c r="M82" i="31"/>
  <c r="D84" i="31"/>
  <c r="M72" i="31"/>
  <c r="D79" i="31"/>
  <c r="M67" i="31"/>
  <c r="D31" i="17"/>
  <c r="D175" i="30" s="1"/>
  <c r="F20" i="9"/>
  <c r="V332" i="30" s="1"/>
  <c r="W332" i="30" s="1"/>
  <c r="W334" i="30" s="1"/>
  <c r="W336" i="30" s="1"/>
  <c r="B31" i="17"/>
  <c r="C31" i="17"/>
  <c r="M163" i="19"/>
  <c r="N163" i="19" s="1"/>
  <c r="M51" i="9"/>
  <c r="I44" i="9"/>
  <c r="I45" i="9"/>
  <c r="H44" i="9"/>
  <c r="H45" i="9"/>
  <c r="J44" i="9"/>
  <c r="J45" i="9"/>
  <c r="G5" i="11"/>
  <c r="G6" i="11" s="1"/>
  <c r="I46" i="11"/>
  <c r="F34" i="30" s="1"/>
  <c r="H46" i="11"/>
  <c r="L14" i="11"/>
  <c r="C5" i="11"/>
  <c r="C6" i="11" s="1"/>
  <c r="C7" i="9"/>
  <c r="D7" i="9" s="1"/>
  <c r="E7" i="9" s="1"/>
  <c r="C55" i="29"/>
  <c r="L37" i="31" s="1"/>
  <c r="L36" i="19"/>
  <c r="K49" i="9"/>
  <c r="K35" i="9" s="1"/>
  <c r="K36" i="9" s="1"/>
  <c r="K55" i="9" s="1"/>
  <c r="K63" i="9" s="1"/>
  <c r="H57" i="11"/>
  <c r="B57" i="11"/>
  <c r="C57" i="11"/>
  <c r="E57" i="11"/>
  <c r="D57" i="11"/>
  <c r="G57" i="11"/>
  <c r="F15" i="28"/>
  <c r="F16" i="28" s="1"/>
  <c r="F20" i="28" s="1"/>
  <c r="D15" i="28"/>
  <c r="D16" i="28" s="1"/>
  <c r="D20" i="28" s="1"/>
  <c r="M147" i="19"/>
  <c r="M159" i="19"/>
  <c r="C142" i="30" s="1"/>
  <c r="J68" i="19"/>
  <c r="J57" i="19" s="1"/>
  <c r="J58" i="19" s="1"/>
  <c r="J59" i="19" s="1"/>
  <c r="J60" i="19" s="1"/>
  <c r="J61" i="19" s="1"/>
  <c r="J62" i="19" s="1"/>
  <c r="J63" i="19" s="1"/>
  <c r="J64" i="19" s="1"/>
  <c r="J65" i="19" s="1"/>
  <c r="J66" i="19" s="1"/>
  <c r="J67" i="19" s="1"/>
  <c r="F56" i="11"/>
  <c r="G56" i="11"/>
  <c r="J45" i="19"/>
  <c r="J46" i="19" s="1"/>
  <c r="J47" i="19" s="1"/>
  <c r="J48" i="19" s="1"/>
  <c r="J49" i="19" s="1"/>
  <c r="J50" i="19" s="1"/>
  <c r="J51" i="19" s="1"/>
  <c r="J52" i="19" s="1"/>
  <c r="J53" i="19" s="1"/>
  <c r="J54" i="19" s="1"/>
  <c r="J55" i="19" s="1"/>
  <c r="C56" i="11"/>
  <c r="J9" i="19"/>
  <c r="J10" i="19" s="1"/>
  <c r="J11" i="19" s="1"/>
  <c r="J12" i="19" s="1"/>
  <c r="J13" i="19" s="1"/>
  <c r="J14" i="19" s="1"/>
  <c r="J15" i="19" s="1"/>
  <c r="J16" i="19" s="1"/>
  <c r="J17" i="19" s="1"/>
  <c r="J18" i="19" s="1"/>
  <c r="J19" i="19" s="1"/>
  <c r="J21" i="19"/>
  <c r="J22" i="19" s="1"/>
  <c r="J23" i="19" s="1"/>
  <c r="J24" i="19" s="1"/>
  <c r="J25" i="19" s="1"/>
  <c r="J26" i="19" s="1"/>
  <c r="J27" i="19" s="1"/>
  <c r="J28" i="19" s="1"/>
  <c r="J29" i="19" s="1"/>
  <c r="J30" i="19" s="1"/>
  <c r="J31" i="19" s="1"/>
  <c r="J33" i="19"/>
  <c r="J34" i="19" s="1"/>
  <c r="J35" i="19" s="1"/>
  <c r="J36" i="19" s="1"/>
  <c r="J37" i="19" s="1"/>
  <c r="J38" i="19" s="1"/>
  <c r="J39" i="19" s="1"/>
  <c r="J40" i="19" s="1"/>
  <c r="J41" i="19" s="1"/>
  <c r="J42" i="19" s="1"/>
  <c r="J43" i="19" s="1"/>
  <c r="E56" i="11"/>
  <c r="D56" i="11"/>
  <c r="B56" i="11"/>
  <c r="H5" i="11"/>
  <c r="E5" i="11"/>
  <c r="F5" i="11"/>
  <c r="D5" i="11"/>
  <c r="B5" i="11"/>
  <c r="M154" i="31" l="1"/>
  <c r="Q154" i="19" s="1"/>
  <c r="E137" i="30" s="1"/>
  <c r="F137" i="30" s="1"/>
  <c r="H6" i="11"/>
  <c r="P330" i="30" s="1"/>
  <c r="P329" i="30"/>
  <c r="AH425" i="30"/>
  <c r="AN394" i="30"/>
  <c r="AN403" i="30" s="1"/>
  <c r="AG403" i="30"/>
  <c r="I77" i="30"/>
  <c r="B91" i="30"/>
  <c r="B191" i="30" s="1"/>
  <c r="B205" i="30" s="1"/>
  <c r="AH424" i="30"/>
  <c r="AN393" i="30"/>
  <c r="AN402" i="30" s="1"/>
  <c r="AG402" i="30"/>
  <c r="B29" i="17"/>
  <c r="B14" i="17" s="1"/>
  <c r="B15" i="17" s="1"/>
  <c r="B175" i="30"/>
  <c r="AF406" i="30"/>
  <c r="AF428" i="30"/>
  <c r="C92" i="30"/>
  <c r="C192" i="30" s="1"/>
  <c r="C29" i="17"/>
  <c r="C14" i="17" s="1"/>
  <c r="C175" i="30"/>
  <c r="D92" i="30"/>
  <c r="D192" i="30" s="1"/>
  <c r="P372" i="30"/>
  <c r="AG423" i="30"/>
  <c r="I78" i="30"/>
  <c r="B92" i="30"/>
  <c r="B192" i="30" s="1"/>
  <c r="AF405" i="30"/>
  <c r="AF427" i="30"/>
  <c r="R372" i="30"/>
  <c r="AG392" i="30"/>
  <c r="D304" i="30"/>
  <c r="I289" i="30"/>
  <c r="B289" i="30"/>
  <c r="G289" i="30" s="1"/>
  <c r="D262" i="30"/>
  <c r="D267" i="30" s="1"/>
  <c r="F184" i="30"/>
  <c r="F198" i="30" s="1"/>
  <c r="F213" i="30" s="1"/>
  <c r="F219" i="30" s="1"/>
  <c r="F225" i="30" s="1"/>
  <c r="F274" i="30" s="1"/>
  <c r="O357" i="30" s="1"/>
  <c r="F132" i="30"/>
  <c r="I292" i="30" s="1"/>
  <c r="D132" i="30"/>
  <c r="H10" i="28"/>
  <c r="H12" i="28" s="1"/>
  <c r="C12" i="28"/>
  <c r="F133" i="30"/>
  <c r="D133" i="30"/>
  <c r="D135" i="30"/>
  <c r="F135" i="30"/>
  <c r="M165" i="19"/>
  <c r="N165" i="19" s="1"/>
  <c r="F142" i="30"/>
  <c r="R159" i="19"/>
  <c r="F136" i="30"/>
  <c r="D136" i="30"/>
  <c r="D137" i="30"/>
  <c r="D134" i="30"/>
  <c r="F134" i="30"/>
  <c r="H56" i="11"/>
  <c r="F33" i="30"/>
  <c r="G33" i="30" s="1"/>
  <c r="C15" i="17"/>
  <c r="C181" i="30" s="1"/>
  <c r="C222" i="30" s="1"/>
  <c r="C277" i="30" s="1"/>
  <c r="G35" i="30"/>
  <c r="D96" i="31"/>
  <c r="M84" i="31"/>
  <c r="D87" i="31"/>
  <c r="M75" i="31"/>
  <c r="D89" i="31"/>
  <c r="M77" i="31"/>
  <c r="D95" i="31"/>
  <c r="M83" i="31"/>
  <c r="D105" i="31"/>
  <c r="M93" i="31"/>
  <c r="D91" i="31"/>
  <c r="M79" i="31"/>
  <c r="D106" i="31"/>
  <c r="M94" i="31"/>
  <c r="D98" i="31"/>
  <c r="M86" i="31"/>
  <c r="D92" i="31"/>
  <c r="M80" i="31"/>
  <c r="D97" i="31"/>
  <c r="M85" i="31"/>
  <c r="D88" i="31"/>
  <c r="M76" i="31"/>
  <c r="I56" i="11"/>
  <c r="D102" i="31"/>
  <c r="M90" i="31"/>
  <c r="J81" i="31"/>
  <c r="J82" i="31" s="1"/>
  <c r="J83" i="31" s="1"/>
  <c r="J84" i="31" s="1"/>
  <c r="J85" i="31" s="1"/>
  <c r="J86" i="31" s="1"/>
  <c r="J87" i="31" s="1"/>
  <c r="J88" i="31" s="1"/>
  <c r="J89" i="31" s="1"/>
  <c r="J90" i="31" s="1"/>
  <c r="J91" i="31" s="1"/>
  <c r="J69" i="31"/>
  <c r="J70" i="31" s="1"/>
  <c r="J71" i="31" s="1"/>
  <c r="J72" i="31" s="1"/>
  <c r="J73" i="31" s="1"/>
  <c r="J74" i="31" s="1"/>
  <c r="J75" i="31" s="1"/>
  <c r="J76" i="31" s="1"/>
  <c r="J77" i="31" s="1"/>
  <c r="J78" i="31" s="1"/>
  <c r="J79" i="31" s="1"/>
  <c r="G18" i="9"/>
  <c r="G59" i="9" s="1"/>
  <c r="J51" i="9"/>
  <c r="D210" i="30" s="1"/>
  <c r="I51" i="9"/>
  <c r="H51" i="9"/>
  <c r="L22" i="11"/>
  <c r="L18" i="11"/>
  <c r="M18" i="11"/>
  <c r="M14" i="11"/>
  <c r="I13" i="17"/>
  <c r="M22" i="11"/>
  <c r="J54" i="9"/>
  <c r="J62" i="9" s="1"/>
  <c r="C56" i="29"/>
  <c r="L38" i="31" s="1"/>
  <c r="L37" i="19"/>
  <c r="L5" i="11"/>
  <c r="U329" i="30" s="1"/>
  <c r="C16" i="9"/>
  <c r="D16" i="9" s="1"/>
  <c r="E16" i="9" s="1"/>
  <c r="M5" i="11"/>
  <c r="V329" i="30" s="1"/>
  <c r="V334" i="30" s="1"/>
  <c r="V336" i="30" s="1"/>
  <c r="C17" i="9"/>
  <c r="G58" i="9" s="1"/>
  <c r="L54" i="9"/>
  <c r="L62" i="9" s="1"/>
  <c r="K54" i="9"/>
  <c r="K62" i="9" s="1"/>
  <c r="C15" i="28"/>
  <c r="H13" i="28"/>
  <c r="H15" i="28" s="1"/>
  <c r="H16" i="28" s="1"/>
  <c r="H20" i="28" s="1"/>
  <c r="J80" i="19"/>
  <c r="F6" i="11"/>
  <c r="E6" i="11"/>
  <c r="D6" i="11"/>
  <c r="B6" i="11"/>
  <c r="R154" i="19" l="1"/>
  <c r="B181" i="30"/>
  <c r="B46" i="17"/>
  <c r="I15" i="17"/>
  <c r="N51" i="11" s="1"/>
  <c r="N14" i="11"/>
  <c r="W340" i="30" s="1"/>
  <c r="C180" i="30"/>
  <c r="C221" i="30" s="1"/>
  <c r="C276" i="30" s="1"/>
  <c r="C45" i="17"/>
  <c r="C46" i="17" s="1"/>
  <c r="B180" i="30"/>
  <c r="B45" i="17"/>
  <c r="M155" i="31"/>
  <c r="Q155" i="19" s="1"/>
  <c r="C16" i="28"/>
  <c r="C20" i="28" s="1"/>
  <c r="I35" i="9"/>
  <c r="I36" i="9" s="1"/>
  <c r="C210" i="30"/>
  <c r="AO424" i="30"/>
  <c r="AN433" i="30" s="1"/>
  <c r="AG433" i="30"/>
  <c r="AG455" i="30"/>
  <c r="I181" i="30"/>
  <c r="B222" i="30"/>
  <c r="B206" i="30"/>
  <c r="B207" i="30"/>
  <c r="AF437" i="30"/>
  <c r="AF459" i="30"/>
  <c r="I180" i="30"/>
  <c r="B221" i="30"/>
  <c r="AO425" i="30"/>
  <c r="AN434" i="30" s="1"/>
  <c r="AG456" i="30"/>
  <c r="AG434" i="30"/>
  <c r="C83" i="30"/>
  <c r="V344" i="30"/>
  <c r="AH548" i="30" s="1"/>
  <c r="AG579" i="30" s="1"/>
  <c r="AG430" i="30"/>
  <c r="AN423" i="30"/>
  <c r="AF458" i="30"/>
  <c r="AF436" i="30"/>
  <c r="C206" i="30"/>
  <c r="C207" i="30"/>
  <c r="V340" i="30"/>
  <c r="B83" i="30"/>
  <c r="I83" i="30" s="1"/>
  <c r="H35" i="9"/>
  <c r="H36" i="9" s="1"/>
  <c r="H55" i="9" s="1"/>
  <c r="B210" i="30"/>
  <c r="B84" i="30"/>
  <c r="AN392" i="30"/>
  <c r="AN401" i="30" s="1"/>
  <c r="AH423" i="30"/>
  <c r="AG399" i="30"/>
  <c r="AG401" i="30"/>
  <c r="D206" i="30"/>
  <c r="D207" i="30"/>
  <c r="J297" i="30"/>
  <c r="H297" i="30"/>
  <c r="G297" i="30"/>
  <c r="I297" i="30"/>
  <c r="H295" i="30"/>
  <c r="I295" i="30"/>
  <c r="G295" i="30"/>
  <c r="J295" i="30"/>
  <c r="I294" i="30"/>
  <c r="H294" i="30"/>
  <c r="G294" i="30"/>
  <c r="J294" i="30"/>
  <c r="J296" i="30"/>
  <c r="I296" i="30"/>
  <c r="H296" i="30"/>
  <c r="G296" i="30"/>
  <c r="J293" i="30"/>
  <c r="G293" i="30"/>
  <c r="H293" i="30"/>
  <c r="I293" i="30"/>
  <c r="B319" i="30"/>
  <c r="B304" i="30"/>
  <c r="G34" i="30"/>
  <c r="D30" i="30"/>
  <c r="F57" i="30"/>
  <c r="F99" i="30" s="1"/>
  <c r="H57" i="30"/>
  <c r="H99" i="30" s="1"/>
  <c r="C57" i="30"/>
  <c r="C99" i="30" s="1"/>
  <c r="E57" i="30"/>
  <c r="E99" i="30" s="1"/>
  <c r="G134" i="30"/>
  <c r="B57" i="30"/>
  <c r="D57" i="30"/>
  <c r="D99" i="30" s="1"/>
  <c r="G57" i="30"/>
  <c r="G99" i="30" s="1"/>
  <c r="D33" i="30"/>
  <c r="G60" i="30"/>
  <c r="G102" i="30" s="1"/>
  <c r="AL421" i="30"/>
  <c r="E60" i="30"/>
  <c r="E102" i="30" s="1"/>
  <c r="F60" i="30"/>
  <c r="F102" i="30" s="1"/>
  <c r="D60" i="30"/>
  <c r="D102" i="30" s="1"/>
  <c r="B60" i="30"/>
  <c r="H60" i="30"/>
  <c r="H102" i="30" s="1"/>
  <c r="G137" i="30"/>
  <c r="C60" i="30"/>
  <c r="C102" i="30" s="1"/>
  <c r="C58" i="30"/>
  <c r="C100" i="30" s="1"/>
  <c r="E58" i="30"/>
  <c r="E100" i="30" s="1"/>
  <c r="D58" i="30"/>
  <c r="D100" i="30" s="1"/>
  <c r="F58" i="30"/>
  <c r="F100" i="30" s="1"/>
  <c r="B58" i="30"/>
  <c r="G135" i="30"/>
  <c r="H58" i="30"/>
  <c r="H100" i="30" s="1"/>
  <c r="D31" i="30"/>
  <c r="G58" i="30"/>
  <c r="G100" i="30" s="1"/>
  <c r="D55" i="30"/>
  <c r="D97" i="30" s="1"/>
  <c r="G55" i="30"/>
  <c r="G97" i="30" s="1"/>
  <c r="D28" i="30"/>
  <c r="C55" i="30"/>
  <c r="C97" i="30" s="1"/>
  <c r="B55" i="30"/>
  <c r="H292" i="30"/>
  <c r="G292" i="30"/>
  <c r="E55" i="30"/>
  <c r="E97" i="30" s="1"/>
  <c r="F55" i="30"/>
  <c r="F97" i="30" s="1"/>
  <c r="G132" i="30"/>
  <c r="L6" i="11"/>
  <c r="U330" i="30" s="1"/>
  <c r="D59" i="30"/>
  <c r="D101" i="30" s="1"/>
  <c r="H59" i="30"/>
  <c r="H101" i="30" s="1"/>
  <c r="D32" i="30"/>
  <c r="F59" i="30"/>
  <c r="F101" i="30" s="1"/>
  <c r="G59" i="30"/>
  <c r="G101" i="30" s="1"/>
  <c r="C59" i="30"/>
  <c r="C101" i="30" s="1"/>
  <c r="B59" i="30"/>
  <c r="G136" i="30"/>
  <c r="E59" i="30"/>
  <c r="E101" i="30" s="1"/>
  <c r="E56" i="30"/>
  <c r="E98" i="30" s="1"/>
  <c r="G56" i="30"/>
  <c r="G98" i="30" s="1"/>
  <c r="G133" i="30"/>
  <c r="F56" i="30"/>
  <c r="F98" i="30" s="1"/>
  <c r="D56" i="30"/>
  <c r="D98" i="30" s="1"/>
  <c r="B56" i="30"/>
  <c r="D29" i="30"/>
  <c r="H56" i="30"/>
  <c r="H98" i="30" s="1"/>
  <c r="C56" i="30"/>
  <c r="C98" i="30" s="1"/>
  <c r="N18" i="11"/>
  <c r="I55" i="9"/>
  <c r="I63" i="9" s="1"/>
  <c r="D109" i="31"/>
  <c r="M97" i="31"/>
  <c r="D110" i="31"/>
  <c r="M98" i="31"/>
  <c r="D103" i="31"/>
  <c r="M91" i="31"/>
  <c r="D117" i="31"/>
  <c r="M117" i="31" s="1"/>
  <c r="M105" i="31"/>
  <c r="D101" i="31"/>
  <c r="M89" i="31"/>
  <c r="D108" i="31"/>
  <c r="M96" i="31"/>
  <c r="D100" i="31"/>
  <c r="M88" i="31"/>
  <c r="M92" i="31"/>
  <c r="D104" i="31"/>
  <c r="D118" i="31"/>
  <c r="M118" i="31" s="1"/>
  <c r="M106" i="31"/>
  <c r="D107" i="31"/>
  <c r="M95" i="31"/>
  <c r="D99" i="31"/>
  <c r="M87" i="31"/>
  <c r="D114" i="31"/>
  <c r="M114" i="31" s="1"/>
  <c r="M102" i="31"/>
  <c r="M46" i="11"/>
  <c r="F38" i="30" s="1"/>
  <c r="G38" i="30" s="1"/>
  <c r="L51" i="11"/>
  <c r="L56" i="11" s="1"/>
  <c r="J116" i="19"/>
  <c r="J105" i="19" s="1"/>
  <c r="J106" i="19" s="1"/>
  <c r="J107" i="19" s="1"/>
  <c r="J108" i="19" s="1"/>
  <c r="J109" i="19" s="1"/>
  <c r="J110" i="19" s="1"/>
  <c r="I14" i="17"/>
  <c r="J128" i="31" s="1"/>
  <c r="L38" i="19"/>
  <c r="E56" i="29"/>
  <c r="D6" i="29" s="1"/>
  <c r="E6" i="29" s="1"/>
  <c r="C57" i="29" s="1"/>
  <c r="L39" i="31" s="1"/>
  <c r="D56" i="29"/>
  <c r="G5" i="29" s="1"/>
  <c r="I54" i="9"/>
  <c r="I62" i="9" s="1"/>
  <c r="H54" i="9"/>
  <c r="J81" i="19"/>
  <c r="J82" i="19" s="1"/>
  <c r="J83" i="19" s="1"/>
  <c r="J84" i="19" s="1"/>
  <c r="J85" i="19" s="1"/>
  <c r="J86" i="19" s="1"/>
  <c r="J87" i="19" s="1"/>
  <c r="J88" i="19" s="1"/>
  <c r="J89" i="19" s="1"/>
  <c r="J90" i="19" s="1"/>
  <c r="J91" i="19" s="1"/>
  <c r="J69" i="19"/>
  <c r="J70" i="19" s="1"/>
  <c r="J71" i="19" s="1"/>
  <c r="J72" i="19" s="1"/>
  <c r="J73" i="19" s="1"/>
  <c r="J74" i="19" s="1"/>
  <c r="J75" i="19" s="1"/>
  <c r="J76" i="19" s="1"/>
  <c r="J77" i="19" s="1"/>
  <c r="J78" i="19" s="1"/>
  <c r="J79" i="19" s="1"/>
  <c r="J46" i="17" l="1"/>
  <c r="J45" i="17"/>
  <c r="E138" i="30"/>
  <c r="F138" i="30" s="1"/>
  <c r="R155" i="19"/>
  <c r="G55" i="9"/>
  <c r="G63" i="9" s="1"/>
  <c r="I67" i="9" s="1"/>
  <c r="C280" i="30" s="1"/>
  <c r="C286" i="30" s="1"/>
  <c r="AG465" i="30"/>
  <c r="AN456" i="30"/>
  <c r="AN465" i="30" s="1"/>
  <c r="AF468" i="30"/>
  <c r="AF490" i="30"/>
  <c r="I222" i="30"/>
  <c r="B277" i="30"/>
  <c r="H63" i="9"/>
  <c r="O63" i="9" s="1"/>
  <c r="C84" i="30"/>
  <c r="I84" i="30" s="1"/>
  <c r="W344" i="30"/>
  <c r="AH579" i="30" s="1"/>
  <c r="AG588" i="30" s="1"/>
  <c r="AH430" i="30"/>
  <c r="AG454" i="30"/>
  <c r="AO423" i="30"/>
  <c r="AN432" i="30" s="1"/>
  <c r="AG432" i="30"/>
  <c r="AH578" i="30"/>
  <c r="V372" i="30"/>
  <c r="AH547" i="30"/>
  <c r="AF489" i="30"/>
  <c r="AF467" i="30"/>
  <c r="I221" i="30"/>
  <c r="B276" i="30"/>
  <c r="AG464" i="30"/>
  <c r="AN455" i="30"/>
  <c r="AN464" i="30" s="1"/>
  <c r="AL429" i="30"/>
  <c r="AL427" i="30"/>
  <c r="AL428" i="30"/>
  <c r="AL424" i="30"/>
  <c r="AP424" i="30" s="1"/>
  <c r="AL426" i="30"/>
  <c r="AP426" i="30" s="1"/>
  <c r="AL425" i="30"/>
  <c r="AP425" i="30" s="1"/>
  <c r="K292" i="30"/>
  <c r="K295" i="30"/>
  <c r="K294" i="30"/>
  <c r="K297" i="30"/>
  <c r="K296" i="30"/>
  <c r="K293" i="30"/>
  <c r="E32" i="30"/>
  <c r="B100" i="30"/>
  <c r="I58" i="30"/>
  <c r="E33" i="30"/>
  <c r="B99" i="30"/>
  <c r="I57" i="30"/>
  <c r="B98" i="30"/>
  <c r="I56" i="30"/>
  <c r="E31" i="30"/>
  <c r="B102" i="30"/>
  <c r="I60" i="30"/>
  <c r="AL423" i="30"/>
  <c r="E30" i="30"/>
  <c r="E29" i="30"/>
  <c r="B101" i="30"/>
  <c r="I59" i="30"/>
  <c r="B97" i="30"/>
  <c r="I55" i="30"/>
  <c r="N46" i="11"/>
  <c r="D119" i="31"/>
  <c r="M119" i="31" s="1"/>
  <c r="M107" i="31"/>
  <c r="D120" i="31"/>
  <c r="M120" i="31" s="1"/>
  <c r="M108" i="31"/>
  <c r="D122" i="31"/>
  <c r="M122" i="31" s="1"/>
  <c r="M110" i="31"/>
  <c r="M156" i="31"/>
  <c r="Q156" i="19" s="1"/>
  <c r="J175" i="31"/>
  <c r="J176" i="31" s="1"/>
  <c r="J177" i="31" s="1"/>
  <c r="J178" i="31" s="1"/>
  <c r="J179" i="31" s="1"/>
  <c r="J180" i="31" s="1"/>
  <c r="J169" i="31"/>
  <c r="J170" i="31" s="1"/>
  <c r="J171" i="31" s="1"/>
  <c r="J172" i="31" s="1"/>
  <c r="J173" i="31" s="1"/>
  <c r="J129" i="31"/>
  <c r="J130" i="31" s="1"/>
  <c r="J131" i="31" s="1"/>
  <c r="J132" i="31" s="1"/>
  <c r="J133" i="31" s="1"/>
  <c r="J134" i="31" s="1"/>
  <c r="J117" i="31"/>
  <c r="J118" i="31" s="1"/>
  <c r="J119" i="31" s="1"/>
  <c r="J120" i="31" s="1"/>
  <c r="J121" i="31" s="1"/>
  <c r="J122" i="31" s="1"/>
  <c r="J123" i="31" s="1"/>
  <c r="J124" i="31" s="1"/>
  <c r="J125" i="31" s="1"/>
  <c r="J126" i="31" s="1"/>
  <c r="J127" i="31" s="1"/>
  <c r="D111" i="31"/>
  <c r="M111" i="31" s="1"/>
  <c r="M99" i="31"/>
  <c r="D112" i="31"/>
  <c r="M112" i="31" s="1"/>
  <c r="M100" i="31"/>
  <c r="D113" i="31"/>
  <c r="M113" i="31" s="1"/>
  <c r="M101" i="31"/>
  <c r="D115" i="31"/>
  <c r="M115" i="31" s="1"/>
  <c r="M103" i="31"/>
  <c r="D121" i="31"/>
  <c r="M121" i="31" s="1"/>
  <c r="M109" i="31"/>
  <c r="D116" i="31"/>
  <c r="M116" i="31" s="1"/>
  <c r="M104" i="31"/>
  <c r="G54" i="9"/>
  <c r="G62" i="9" s="1"/>
  <c r="H62" i="9"/>
  <c r="O62" i="9" s="1"/>
  <c r="M51" i="11"/>
  <c r="M56" i="11" s="1"/>
  <c r="J128" i="19"/>
  <c r="J111" i="19"/>
  <c r="J112" i="19" s="1"/>
  <c r="J113" i="19" s="1"/>
  <c r="J114" i="19" s="1"/>
  <c r="J115" i="19" s="1"/>
  <c r="H5" i="29"/>
  <c r="L39" i="19"/>
  <c r="C58" i="29"/>
  <c r="L40" i="31" s="1"/>
  <c r="M67" i="9" l="1"/>
  <c r="G280" i="30" s="1"/>
  <c r="G286" i="30" s="1"/>
  <c r="D322" i="30" s="1"/>
  <c r="K67" i="9"/>
  <c r="E280" i="30" s="1"/>
  <c r="E286" i="30" s="1"/>
  <c r="C322" i="30" s="1"/>
  <c r="N67" i="9"/>
  <c r="H280" i="30" s="1"/>
  <c r="H286" i="30" s="1"/>
  <c r="E322" i="30" s="1"/>
  <c r="L67" i="9"/>
  <c r="F280" i="30" s="1"/>
  <c r="F286" i="30" s="1"/>
  <c r="J67" i="9"/>
  <c r="D280" i="30" s="1"/>
  <c r="D286" i="30" s="1"/>
  <c r="B322" i="30" s="1"/>
  <c r="H67" i="9"/>
  <c r="B280" i="30" s="1"/>
  <c r="E139" i="30"/>
  <c r="F139" i="30" s="1"/>
  <c r="R156" i="19"/>
  <c r="M157" i="31"/>
  <c r="Q157" i="19" s="1"/>
  <c r="M158" i="31"/>
  <c r="Q158" i="19" s="1"/>
  <c r="G298" i="30"/>
  <c r="H61" i="30"/>
  <c r="H103" i="30" s="1"/>
  <c r="AL390" i="30"/>
  <c r="G61" i="30"/>
  <c r="G103" i="30" s="1"/>
  <c r="J298" i="30"/>
  <c r="E61" i="30"/>
  <c r="E103" i="30" s="1"/>
  <c r="D34" i="30"/>
  <c r="H298" i="30"/>
  <c r="C61" i="30"/>
  <c r="C103" i="30" s="1"/>
  <c r="F61" i="30"/>
  <c r="F103" i="30" s="1"/>
  <c r="I298" i="30"/>
  <c r="B61" i="30"/>
  <c r="D61" i="30"/>
  <c r="D103" i="30" s="1"/>
  <c r="G138" i="30"/>
  <c r="AH585" i="30"/>
  <c r="W372" i="30"/>
  <c r="AG461" i="30"/>
  <c r="AG463" i="30"/>
  <c r="AN454" i="30"/>
  <c r="AN463" i="30" s="1"/>
  <c r="AF521" i="30"/>
  <c r="AF499" i="30"/>
  <c r="I276" i="30"/>
  <c r="AH554" i="30"/>
  <c r="AG578" i="30"/>
  <c r="AF498" i="30"/>
  <c r="AF520" i="30"/>
  <c r="I277" i="30"/>
  <c r="AP428" i="30"/>
  <c r="AP427" i="30"/>
  <c r="AP429" i="30"/>
  <c r="AP423" i="30"/>
  <c r="F39" i="30"/>
  <c r="G39" i="30" s="1"/>
  <c r="N56" i="11"/>
  <c r="M147" i="31"/>
  <c r="H66" i="9"/>
  <c r="B279" i="30" s="1"/>
  <c r="K66" i="9"/>
  <c r="E279" i="30" s="1"/>
  <c r="E285" i="30" s="1"/>
  <c r="C321" i="30" s="1"/>
  <c r="I66" i="9"/>
  <c r="C279" i="30" s="1"/>
  <c r="C285" i="30" s="1"/>
  <c r="N66" i="9"/>
  <c r="H279" i="30" s="1"/>
  <c r="H285" i="30" s="1"/>
  <c r="E321" i="30" s="1"/>
  <c r="J169" i="19"/>
  <c r="J170" i="19" s="1"/>
  <c r="J171" i="19" s="1"/>
  <c r="J172" i="19" s="1"/>
  <c r="J173" i="19" s="1"/>
  <c r="J129" i="19"/>
  <c r="J130" i="19" s="1"/>
  <c r="J131" i="19" s="1"/>
  <c r="J132" i="19" s="1"/>
  <c r="J133" i="19" s="1"/>
  <c r="J134" i="19" s="1"/>
  <c r="J175" i="19"/>
  <c r="J176" i="19" s="1"/>
  <c r="J177" i="19" s="1"/>
  <c r="J178" i="19" s="1"/>
  <c r="J179" i="19" s="1"/>
  <c r="J180" i="19" s="1"/>
  <c r="J117" i="19"/>
  <c r="J118" i="19" s="1"/>
  <c r="J119" i="19" s="1"/>
  <c r="J120" i="19" s="1"/>
  <c r="J121" i="19" s="1"/>
  <c r="J122" i="19" s="1"/>
  <c r="J123" i="19" s="1"/>
  <c r="J124" i="19" s="1"/>
  <c r="J125" i="19" s="1"/>
  <c r="J126" i="19" s="1"/>
  <c r="J127" i="19" s="1"/>
  <c r="L66" i="9"/>
  <c r="F279" i="30" s="1"/>
  <c r="F285" i="30" s="1"/>
  <c r="J66" i="9"/>
  <c r="D279" i="30" s="1"/>
  <c r="D285" i="30" s="1"/>
  <c r="B321" i="30" s="1"/>
  <c r="M66" i="9"/>
  <c r="G279" i="30" s="1"/>
  <c r="G285" i="30" s="1"/>
  <c r="D321" i="30" s="1"/>
  <c r="C59" i="29"/>
  <c r="L41" i="31" s="1"/>
  <c r="L40" i="19"/>
  <c r="L43" i="11"/>
  <c r="M163" i="31" l="1"/>
  <c r="N163" i="31" s="1"/>
  <c r="I280" i="30"/>
  <c r="F322" i="30"/>
  <c r="O67" i="9"/>
  <c r="B286" i="30"/>
  <c r="I286" i="30" s="1"/>
  <c r="I61" i="30"/>
  <c r="B103" i="30"/>
  <c r="E141" i="30"/>
  <c r="F141" i="30" s="1"/>
  <c r="R158" i="19"/>
  <c r="E34" i="30"/>
  <c r="AL398" i="30"/>
  <c r="AL395" i="30"/>
  <c r="AL392" i="30"/>
  <c r="AL396" i="30"/>
  <c r="AL397" i="30"/>
  <c r="AL394" i="30"/>
  <c r="AM421" i="30"/>
  <c r="AL452" i="30" s="1"/>
  <c r="AL393" i="30"/>
  <c r="E140" i="30"/>
  <c r="F140" i="30" s="1"/>
  <c r="R157" i="19"/>
  <c r="M165" i="31"/>
  <c r="N165" i="31" s="1"/>
  <c r="K298" i="30"/>
  <c r="H299" i="30"/>
  <c r="G139" i="30"/>
  <c r="H63" i="30"/>
  <c r="H105" i="30" s="1"/>
  <c r="J299" i="30"/>
  <c r="E63" i="30"/>
  <c r="E105" i="30" s="1"/>
  <c r="F63" i="30"/>
  <c r="F105" i="30" s="1"/>
  <c r="I299" i="30"/>
  <c r="D35" i="30"/>
  <c r="E35" i="30" s="1"/>
  <c r="G63" i="30"/>
  <c r="G105" i="30" s="1"/>
  <c r="D63" i="30"/>
  <c r="D105" i="30" s="1"/>
  <c r="G299" i="30"/>
  <c r="C63" i="30"/>
  <c r="C105" i="30" s="1"/>
  <c r="B63" i="30"/>
  <c r="AM452" i="30"/>
  <c r="AG587" i="30"/>
  <c r="AG585" i="30"/>
  <c r="I279" i="30"/>
  <c r="B285" i="30"/>
  <c r="I285" i="30" s="1"/>
  <c r="F321" i="30"/>
  <c r="AF529" i="30"/>
  <c r="AF551" i="30"/>
  <c r="AF552" i="30"/>
  <c r="AF530" i="30"/>
  <c r="O66" i="9"/>
  <c r="C60" i="29"/>
  <c r="L42" i="31" s="1"/>
  <c r="L41" i="19"/>
  <c r="L29" i="11"/>
  <c r="L38" i="11"/>
  <c r="AM459" i="30" l="1"/>
  <c r="AM455" i="30"/>
  <c r="AL483" i="30"/>
  <c r="AM458" i="30"/>
  <c r="AM454" i="30"/>
  <c r="AM460" i="30"/>
  <c r="AM456" i="30"/>
  <c r="AM457" i="30"/>
  <c r="AL402" i="30"/>
  <c r="AM424" i="30"/>
  <c r="AP393" i="30"/>
  <c r="AP402" i="30" s="1"/>
  <c r="AM427" i="30"/>
  <c r="AP396" i="30"/>
  <c r="AP405" i="30" s="1"/>
  <c r="AL405" i="30"/>
  <c r="B105" i="30"/>
  <c r="I63" i="30"/>
  <c r="AL459" i="30"/>
  <c r="AP459" i="30" s="1"/>
  <c r="AL455" i="30"/>
  <c r="AP455" i="30" s="1"/>
  <c r="AL460" i="30"/>
  <c r="AP460" i="30" s="1"/>
  <c r="AL457" i="30"/>
  <c r="AP457" i="30" s="1"/>
  <c r="AL458" i="30"/>
  <c r="AP458" i="30" s="1"/>
  <c r="AL454" i="30"/>
  <c r="AP454" i="30" s="1"/>
  <c r="AL456" i="30"/>
  <c r="AP456" i="30" s="1"/>
  <c r="AM423" i="30"/>
  <c r="AL401" i="30"/>
  <c r="AP392" i="30"/>
  <c r="AP401" i="30" s="1"/>
  <c r="AL403" i="30"/>
  <c r="AM425" i="30"/>
  <c r="AP394" i="30"/>
  <c r="AP403" i="30" s="1"/>
  <c r="AP395" i="30"/>
  <c r="AP404" i="30" s="1"/>
  <c r="AM426" i="30"/>
  <c r="AL404" i="30"/>
  <c r="K299" i="30"/>
  <c r="H300" i="30"/>
  <c r="D64" i="30"/>
  <c r="D106" i="30" s="1"/>
  <c r="E64" i="30"/>
  <c r="E106" i="30" s="1"/>
  <c r="AM483" i="30"/>
  <c r="J300" i="30"/>
  <c r="F64" i="30"/>
  <c r="F106" i="30" s="1"/>
  <c r="G140" i="30"/>
  <c r="C64" i="30"/>
  <c r="C106" i="30" s="1"/>
  <c r="I300" i="30"/>
  <c r="H64" i="30"/>
  <c r="H106" i="30" s="1"/>
  <c r="D36" i="30"/>
  <c r="E36" i="30" s="1"/>
  <c r="G300" i="30"/>
  <c r="B64" i="30"/>
  <c r="G64" i="30"/>
  <c r="G106" i="30" s="1"/>
  <c r="AM428" i="30"/>
  <c r="AP397" i="30"/>
  <c r="AP406" i="30" s="1"/>
  <c r="AL406" i="30"/>
  <c r="AM429" i="30"/>
  <c r="AP398" i="30"/>
  <c r="AP407" i="30" s="1"/>
  <c r="AL407" i="30"/>
  <c r="J301" i="30"/>
  <c r="B65" i="30"/>
  <c r="C65" i="30"/>
  <c r="C107" i="30" s="1"/>
  <c r="G65" i="30"/>
  <c r="G107" i="30" s="1"/>
  <c r="I301" i="30"/>
  <c r="D65" i="30"/>
  <c r="D107" i="30" s="1"/>
  <c r="H65" i="30"/>
  <c r="H107" i="30" s="1"/>
  <c r="E65" i="30"/>
  <c r="E107" i="30" s="1"/>
  <c r="H301" i="30"/>
  <c r="F65" i="30"/>
  <c r="F107" i="30" s="1"/>
  <c r="AM514" i="30"/>
  <c r="G301" i="30"/>
  <c r="G141" i="30"/>
  <c r="D37" i="30"/>
  <c r="AF560" i="30"/>
  <c r="AF582" i="30"/>
  <c r="AF591" i="30" s="1"/>
  <c r="AF561" i="30"/>
  <c r="AF583" i="30"/>
  <c r="AF592" i="30" s="1"/>
  <c r="C61" i="29"/>
  <c r="L43" i="31" s="1"/>
  <c r="L42" i="19"/>
  <c r="L24" i="11"/>
  <c r="L48" i="11" s="1"/>
  <c r="F11" i="18"/>
  <c r="L53" i="11" s="1"/>
  <c r="F8" i="18"/>
  <c r="I53" i="11" s="1"/>
  <c r="I58" i="11" s="1"/>
  <c r="B106" i="30" l="1"/>
  <c r="I64" i="30"/>
  <c r="AM521" i="30"/>
  <c r="AM519" i="30"/>
  <c r="AM520" i="30"/>
  <c r="AM516" i="30"/>
  <c r="AM522" i="30"/>
  <c r="AM518" i="30"/>
  <c r="AL545" i="30"/>
  <c r="AM517" i="30"/>
  <c r="AQ428" i="30"/>
  <c r="AP437" i="30" s="1"/>
  <c r="AL437" i="30"/>
  <c r="AQ425" i="30"/>
  <c r="AP434" i="30" s="1"/>
  <c r="AL434" i="30"/>
  <c r="AQ423" i="30"/>
  <c r="AP432" i="30" s="1"/>
  <c r="AL432" i="30"/>
  <c r="AQ427" i="30"/>
  <c r="AP436" i="30" s="1"/>
  <c r="AL436" i="30"/>
  <c r="AQ457" i="30"/>
  <c r="AP466" i="30" s="1"/>
  <c r="AL466" i="30"/>
  <c r="AQ458" i="30"/>
  <c r="AL467" i="30"/>
  <c r="E37" i="30"/>
  <c r="B107" i="30"/>
  <c r="I65" i="30"/>
  <c r="AQ429" i="30"/>
  <c r="AP438" i="30" s="1"/>
  <c r="AL438" i="30"/>
  <c r="AQ426" i="30"/>
  <c r="AP435" i="30" s="1"/>
  <c r="AL435" i="30"/>
  <c r="AQ456" i="30"/>
  <c r="AP465" i="30" s="1"/>
  <c r="AL465" i="30"/>
  <c r="AL491" i="30"/>
  <c r="AP491" i="30" s="1"/>
  <c r="AL487" i="30"/>
  <c r="AP487" i="30" s="1"/>
  <c r="AL490" i="30"/>
  <c r="AP490" i="30" s="1"/>
  <c r="AL485" i="30"/>
  <c r="AP485" i="30" s="1"/>
  <c r="AL486" i="30"/>
  <c r="AP486" i="30" s="1"/>
  <c r="AL489" i="30"/>
  <c r="AP489" i="30" s="1"/>
  <c r="AL488" i="30"/>
  <c r="AP488" i="30" s="1"/>
  <c r="AQ424" i="30"/>
  <c r="AP433" i="30" s="1"/>
  <c r="AL433" i="30"/>
  <c r="AQ460" i="30"/>
  <c r="AP469" i="30" s="1"/>
  <c r="AL469" i="30"/>
  <c r="AQ455" i="30"/>
  <c r="AP464" i="30" s="1"/>
  <c r="AL464" i="30"/>
  <c r="K301" i="30"/>
  <c r="K300" i="30"/>
  <c r="AM485" i="30"/>
  <c r="AM488" i="30"/>
  <c r="AM489" i="30"/>
  <c r="AM486" i="30"/>
  <c r="AM490" i="30"/>
  <c r="AM487" i="30"/>
  <c r="AL514" i="30"/>
  <c r="AM491" i="30"/>
  <c r="AP467" i="30"/>
  <c r="AQ454" i="30"/>
  <c r="AP463" i="30" s="1"/>
  <c r="AL463" i="30"/>
  <c r="AQ459" i="30"/>
  <c r="AP468" i="30" s="1"/>
  <c r="AL468" i="30"/>
  <c r="L58" i="11"/>
  <c r="C62" i="29"/>
  <c r="L44" i="31" s="1"/>
  <c r="L43" i="19"/>
  <c r="U5" i="23"/>
  <c r="AL496" i="30" l="1"/>
  <c r="AL497" i="30"/>
  <c r="AL495" i="30"/>
  <c r="AQ491" i="30"/>
  <c r="AP500" i="30" s="1"/>
  <c r="AL500" i="30"/>
  <c r="AQ490" i="30"/>
  <c r="AP499" i="30" s="1"/>
  <c r="AL499" i="30"/>
  <c r="AL494" i="30"/>
  <c r="AQ522" i="30"/>
  <c r="AQ521" i="30"/>
  <c r="AL522" i="30"/>
  <c r="AP522" i="30" s="1"/>
  <c r="AL518" i="30"/>
  <c r="AL527" i="30" s="1"/>
  <c r="AL516" i="30"/>
  <c r="AL525" i="30" s="1"/>
  <c r="AL521" i="30"/>
  <c r="AP521" i="30" s="1"/>
  <c r="AL517" i="30"/>
  <c r="AL526" i="30" s="1"/>
  <c r="AL520" i="30"/>
  <c r="AP520" i="30" s="1"/>
  <c r="AL519" i="30"/>
  <c r="AL528" i="30" s="1"/>
  <c r="AQ489" i="30"/>
  <c r="AP498" i="30" s="1"/>
  <c r="AL498" i="30"/>
  <c r="AL552" i="30"/>
  <c r="AL548" i="30"/>
  <c r="AL553" i="30"/>
  <c r="AP553" i="30" s="1"/>
  <c r="AL550" i="30"/>
  <c r="AL551" i="30"/>
  <c r="AP551" i="30" s="1"/>
  <c r="AL549" i="30"/>
  <c r="AL547" i="30"/>
  <c r="AQ520" i="30"/>
  <c r="C63" i="29"/>
  <c r="L45" i="31" s="1"/>
  <c r="L44" i="19"/>
  <c r="AP529" i="30" l="1"/>
  <c r="AL529" i="30"/>
  <c r="AP531" i="30"/>
  <c r="AL530" i="30"/>
  <c r="AL531" i="30"/>
  <c r="AP530" i="30"/>
  <c r="AP552" i="30"/>
  <c r="AP561" i="30" s="1"/>
  <c r="AL561" i="30"/>
  <c r="M170" i="19"/>
  <c r="M171" i="19"/>
  <c r="M175" i="19"/>
  <c r="M179" i="19"/>
  <c r="M174" i="19"/>
  <c r="M173" i="19"/>
  <c r="M180" i="19"/>
  <c r="M169" i="19"/>
  <c r="M172" i="19"/>
  <c r="M177" i="19"/>
  <c r="M176" i="19"/>
  <c r="M178" i="19"/>
  <c r="C64" i="29"/>
  <c r="L46" i="31" s="1"/>
  <c r="L45" i="19"/>
  <c r="N180" i="19" l="1"/>
  <c r="C144" i="30" s="1"/>
  <c r="E144" i="30" s="1"/>
  <c r="F144" i="30" s="1"/>
  <c r="C65" i="29"/>
  <c r="L47" i="31" s="1"/>
  <c r="L46" i="19"/>
  <c r="C66" i="29" l="1"/>
  <c r="L48" i="31" s="1"/>
  <c r="L47" i="19"/>
  <c r="C67" i="29" l="1"/>
  <c r="L49" i="31" s="1"/>
  <c r="L48" i="19"/>
  <c r="C68" i="29" l="1"/>
  <c r="L50" i="31" s="1"/>
  <c r="L49" i="19"/>
  <c r="L50" i="19" l="1"/>
  <c r="E68" i="29"/>
  <c r="D7" i="29" s="1"/>
  <c r="E7" i="29" s="1"/>
  <c r="C69" i="29" s="1"/>
  <c r="L51" i="31" s="1"/>
  <c r="D68" i="29"/>
  <c r="G6" i="29" s="1"/>
  <c r="H6" i="29" l="1"/>
  <c r="L51" i="19"/>
  <c r="C70" i="29"/>
  <c r="L52" i="31" s="1"/>
  <c r="C71" i="29" l="1"/>
  <c r="L53" i="31" s="1"/>
  <c r="L52" i="19"/>
  <c r="C72" i="29" l="1"/>
  <c r="L54" i="31" s="1"/>
  <c r="L53" i="19"/>
  <c r="C73" i="29" l="1"/>
  <c r="L55" i="31" s="1"/>
  <c r="L54" i="19"/>
  <c r="C74" i="29" l="1"/>
  <c r="L56" i="31" s="1"/>
  <c r="L55" i="19"/>
  <c r="C75" i="29" l="1"/>
  <c r="L57" i="31" s="1"/>
  <c r="L56" i="19"/>
  <c r="C76" i="29" l="1"/>
  <c r="L58" i="31" s="1"/>
  <c r="L57" i="19"/>
  <c r="C77" i="29" l="1"/>
  <c r="L59" i="31" s="1"/>
  <c r="L58" i="19"/>
  <c r="C78" i="29" l="1"/>
  <c r="L60" i="31" s="1"/>
  <c r="L59" i="19"/>
  <c r="C79" i="29" l="1"/>
  <c r="L61" i="31" s="1"/>
  <c r="L60" i="19"/>
  <c r="C80" i="29" l="1"/>
  <c r="L62" i="31" s="1"/>
  <c r="L61" i="19"/>
  <c r="L62" i="19" l="1"/>
  <c r="E80" i="29"/>
  <c r="D8" i="29" s="1"/>
  <c r="E8" i="29" s="1"/>
  <c r="C81" i="29" s="1"/>
  <c r="L63" i="31" s="1"/>
  <c r="D80" i="29"/>
  <c r="G7" i="29" s="1"/>
  <c r="H7" i="29" l="1"/>
  <c r="L63" i="19"/>
  <c r="C82" i="29"/>
  <c r="L64" i="31" s="1"/>
  <c r="C83" i="29" l="1"/>
  <c r="L65" i="31" s="1"/>
  <c r="L64" i="19"/>
  <c r="C84" i="29" l="1"/>
  <c r="L66" i="31" s="1"/>
  <c r="L65" i="19"/>
  <c r="C85" i="29" l="1"/>
  <c r="L67" i="31" s="1"/>
  <c r="L66" i="19"/>
  <c r="C86" i="29" l="1"/>
  <c r="L68" i="31" s="1"/>
  <c r="L67" i="19"/>
  <c r="C87" i="29" l="1"/>
  <c r="L69" i="31" s="1"/>
  <c r="L68" i="19"/>
  <c r="C88" i="29" l="1"/>
  <c r="L70" i="31" s="1"/>
  <c r="L69" i="19"/>
  <c r="C89" i="29" l="1"/>
  <c r="L71" i="31" s="1"/>
  <c r="L70" i="19"/>
  <c r="C90" i="29" l="1"/>
  <c r="L72" i="31" s="1"/>
  <c r="L71" i="19"/>
  <c r="C91" i="29" l="1"/>
  <c r="L73" i="31" s="1"/>
  <c r="L72" i="19"/>
  <c r="C92" i="29" l="1"/>
  <c r="L74" i="31" s="1"/>
  <c r="L73" i="19"/>
  <c r="L74" i="19" l="1"/>
  <c r="E92" i="29"/>
  <c r="D9" i="29" s="1"/>
  <c r="E9" i="29" s="1"/>
  <c r="C93" i="29" s="1"/>
  <c r="L75" i="31" s="1"/>
  <c r="D92" i="29"/>
  <c r="G8" i="29" s="1"/>
  <c r="H8" i="29" l="1"/>
  <c r="L75" i="19"/>
  <c r="C94" i="29"/>
  <c r="L76" i="31" s="1"/>
  <c r="C95" i="29" l="1"/>
  <c r="L77" i="31" s="1"/>
  <c r="L76" i="19"/>
  <c r="C96" i="29" l="1"/>
  <c r="L78" i="31" s="1"/>
  <c r="L77" i="19"/>
  <c r="C97" i="29" l="1"/>
  <c r="L79" i="31" s="1"/>
  <c r="L78" i="19"/>
  <c r="C98" i="29" l="1"/>
  <c r="L80" i="31" s="1"/>
  <c r="L79" i="19"/>
  <c r="C99" i="29" l="1"/>
  <c r="L81" i="31" s="1"/>
  <c r="L80" i="19"/>
  <c r="C100" i="29" l="1"/>
  <c r="L82" i="31" s="1"/>
  <c r="L81" i="19"/>
  <c r="C101" i="29" l="1"/>
  <c r="L83" i="31" s="1"/>
  <c r="L82" i="19"/>
  <c r="C102" i="29" l="1"/>
  <c r="L84" i="31" s="1"/>
  <c r="L83" i="19"/>
  <c r="C103" i="29" l="1"/>
  <c r="L85" i="31" s="1"/>
  <c r="L84" i="19"/>
  <c r="C104" i="29" l="1"/>
  <c r="L86" i="31" s="1"/>
  <c r="L85" i="19"/>
  <c r="L86" i="19" l="1"/>
  <c r="E104" i="29"/>
  <c r="D10" i="29" s="1"/>
  <c r="E10" i="29" s="1"/>
  <c r="C105" i="29" s="1"/>
  <c r="L87" i="31" s="1"/>
  <c r="D104" i="29"/>
  <c r="G9" i="29" s="1"/>
  <c r="H9" i="29" s="1"/>
  <c r="L87" i="19" l="1"/>
  <c r="C106" i="29"/>
  <c r="L88" i="31" s="1"/>
  <c r="C107" i="29" l="1"/>
  <c r="L89" i="31" s="1"/>
  <c r="L88" i="19"/>
  <c r="C108" i="29" l="1"/>
  <c r="L90" i="31" s="1"/>
  <c r="L89" i="19"/>
  <c r="C109" i="29" l="1"/>
  <c r="L91" i="31" s="1"/>
  <c r="L90" i="19"/>
  <c r="C110" i="29" l="1"/>
  <c r="L92" i="31" s="1"/>
  <c r="L91" i="19"/>
  <c r="C111" i="29" l="1"/>
  <c r="L93" i="31" s="1"/>
  <c r="L92" i="19"/>
  <c r="C112" i="29" l="1"/>
  <c r="L94" i="31" s="1"/>
  <c r="L93" i="19"/>
  <c r="C113" i="29" l="1"/>
  <c r="L95" i="31" s="1"/>
  <c r="L94" i="19"/>
  <c r="C114" i="29" l="1"/>
  <c r="L96" i="31" s="1"/>
  <c r="L95" i="19"/>
  <c r="C115" i="29" l="1"/>
  <c r="L97" i="31" s="1"/>
  <c r="L96" i="19"/>
  <c r="C116" i="29" l="1"/>
  <c r="L98" i="31" s="1"/>
  <c r="L97" i="19"/>
  <c r="L98" i="19" l="1"/>
  <c r="E116" i="29"/>
  <c r="D11" i="29" s="1"/>
  <c r="E11" i="29" s="1"/>
  <c r="C117" i="29" s="1"/>
  <c r="D116" i="29"/>
  <c r="G10" i="29" s="1"/>
  <c r="H10" i="29" s="1"/>
  <c r="L99" i="19" l="1"/>
  <c r="L99" i="31"/>
  <c r="C118" i="29"/>
  <c r="L100" i="19" l="1"/>
  <c r="L100" i="31"/>
  <c r="C119" i="29"/>
  <c r="L101" i="19" l="1"/>
  <c r="L101" i="31"/>
  <c r="C120" i="29"/>
  <c r="L102" i="19" l="1"/>
  <c r="L102" i="31"/>
  <c r="C121" i="29"/>
  <c r="L103" i="19" l="1"/>
  <c r="L103" i="31"/>
  <c r="C122" i="29"/>
  <c r="L104" i="19" l="1"/>
  <c r="L104" i="31"/>
  <c r="C123" i="29"/>
  <c r="L105" i="19" l="1"/>
  <c r="L105" i="31"/>
  <c r="C124" i="29"/>
  <c r="L106" i="19" l="1"/>
  <c r="L106" i="31"/>
  <c r="C125" i="29"/>
  <c r="L107" i="19" l="1"/>
  <c r="L107" i="31"/>
  <c r="C126" i="29"/>
  <c r="L108" i="19" l="1"/>
  <c r="L108" i="31"/>
  <c r="C127" i="29"/>
  <c r="L109" i="19" l="1"/>
  <c r="L109" i="31"/>
  <c r="C128" i="29"/>
  <c r="L110" i="19" l="1"/>
  <c r="L110" i="31"/>
  <c r="E128" i="29"/>
  <c r="D12" i="29" s="1"/>
  <c r="E12" i="29" s="1"/>
  <c r="C129" i="29" s="1"/>
  <c r="L111" i="31" s="1"/>
  <c r="D128" i="29"/>
  <c r="G11" i="29" s="1"/>
  <c r="H11" i="29" s="1"/>
  <c r="H17" i="29" s="1"/>
  <c r="L111" i="19" l="1"/>
  <c r="C130" i="29"/>
  <c r="L112" i="31" s="1"/>
  <c r="C131" i="29" l="1"/>
  <c r="L113" i="31" s="1"/>
  <c r="L112" i="19"/>
  <c r="C132" i="29" l="1"/>
  <c r="L114" i="31" s="1"/>
  <c r="L113" i="19"/>
  <c r="C133" i="29" l="1"/>
  <c r="L115" i="31" s="1"/>
  <c r="L114" i="19"/>
  <c r="C134" i="29" l="1"/>
  <c r="L116" i="31" s="1"/>
  <c r="L115" i="19"/>
  <c r="C135" i="29" l="1"/>
  <c r="L117" i="31" s="1"/>
  <c r="L116" i="19"/>
  <c r="C136" i="29" l="1"/>
  <c r="L118" i="31" s="1"/>
  <c r="L117" i="19"/>
  <c r="C137" i="29" l="1"/>
  <c r="L119" i="31" s="1"/>
  <c r="L118" i="19"/>
  <c r="C138" i="29" l="1"/>
  <c r="L120" i="31" s="1"/>
  <c r="L119" i="19"/>
  <c r="C139" i="29" l="1"/>
  <c r="L121" i="31" s="1"/>
  <c r="L120" i="19"/>
  <c r="C140" i="29" l="1"/>
  <c r="L122" i="31" s="1"/>
  <c r="L121" i="19"/>
  <c r="L122" i="19" l="1"/>
  <c r="E140" i="29"/>
  <c r="D13" i="29" s="1"/>
  <c r="E13" i="29" s="1"/>
  <c r="C141" i="29" s="1"/>
  <c r="L123" i="31" s="1"/>
  <c r="D140" i="29"/>
  <c r="G12" i="29" s="1"/>
  <c r="H12" i="29" s="1"/>
  <c r="L123" i="19" l="1"/>
  <c r="C142" i="29"/>
  <c r="L124" i="31" s="1"/>
  <c r="C143" i="29" l="1"/>
  <c r="L125" i="31" s="1"/>
  <c r="L124" i="19"/>
  <c r="C144" i="29" l="1"/>
  <c r="L126" i="31" s="1"/>
  <c r="L125" i="19"/>
  <c r="C145" i="29" l="1"/>
  <c r="L127" i="31" s="1"/>
  <c r="L126" i="19"/>
  <c r="C146" i="29" l="1"/>
  <c r="L128" i="31" s="1"/>
  <c r="L127" i="19"/>
  <c r="C147" i="29" l="1"/>
  <c r="L129" i="31" s="1"/>
  <c r="L128" i="19"/>
  <c r="C148" i="29" l="1"/>
  <c r="L130" i="31" s="1"/>
  <c r="L129" i="19"/>
  <c r="C149" i="29" l="1"/>
  <c r="L131" i="31" s="1"/>
  <c r="L130" i="19"/>
  <c r="C150" i="29" l="1"/>
  <c r="L132" i="31" s="1"/>
  <c r="L131" i="19"/>
  <c r="C151" i="29" l="1"/>
  <c r="L133" i="31" s="1"/>
  <c r="L132" i="19"/>
  <c r="C152" i="29" l="1"/>
  <c r="L134" i="31" s="1"/>
  <c r="L133" i="19"/>
  <c r="L134" i="19" l="1"/>
  <c r="E152" i="29"/>
  <c r="C153" i="29"/>
  <c r="C154" i="29" s="1"/>
  <c r="D152" i="29"/>
  <c r="G13" i="29" s="1"/>
  <c r="H13" i="29" l="1"/>
  <c r="G14" i="29"/>
  <c r="U19" i="29" l="1"/>
  <c r="G71" i="9"/>
  <c r="T21" i="29"/>
  <c r="H71" i="9" l="1"/>
  <c r="J71" i="9"/>
  <c r="J58" i="9" s="1"/>
  <c r="N71" i="9"/>
  <c r="N58" i="9" s="1"/>
  <c r="E12" i="18" s="1"/>
  <c r="M43" i="11" s="1"/>
  <c r="V369" i="30" s="1"/>
  <c r="AK553" i="30" s="1"/>
  <c r="I71" i="9"/>
  <c r="I58" i="9" s="1"/>
  <c r="M19" i="11" s="1"/>
  <c r="V345" i="30" s="1"/>
  <c r="AK548" i="30" s="1"/>
  <c r="L71" i="9"/>
  <c r="L58" i="9" s="1"/>
  <c r="M33" i="11" s="1"/>
  <c r="V359" i="30" s="1"/>
  <c r="AK551" i="30" s="1"/>
  <c r="M71" i="9"/>
  <c r="M58" i="9" s="1"/>
  <c r="K71" i="9"/>
  <c r="K58" i="9" s="1"/>
  <c r="M7" i="11"/>
  <c r="M8" i="11" s="1"/>
  <c r="G72" i="9"/>
  <c r="U21" i="29"/>
  <c r="AM553" i="30" l="1"/>
  <c r="AJ584" i="30"/>
  <c r="AO553" i="30"/>
  <c r="AN562" i="30" s="1"/>
  <c r="AJ562" i="30"/>
  <c r="AJ582" i="30"/>
  <c r="AM551" i="30"/>
  <c r="AJ560" i="30"/>
  <c r="AO551" i="30"/>
  <c r="AN560" i="30" s="1"/>
  <c r="AM548" i="30"/>
  <c r="AO548" i="30"/>
  <c r="AJ579" i="30"/>
  <c r="AJ557" i="30"/>
  <c r="F66" i="30"/>
  <c r="F108" i="30" s="1"/>
  <c r="AH488" i="30"/>
  <c r="AG519" i="30" s="1"/>
  <c r="C66" i="30"/>
  <c r="C108" i="30" s="1"/>
  <c r="AH486" i="30"/>
  <c r="AG517" i="30" s="1"/>
  <c r="C12" i="18"/>
  <c r="M29" i="11" s="1"/>
  <c r="V355" i="30" s="1"/>
  <c r="AK550" i="30" s="1"/>
  <c r="M28" i="11"/>
  <c r="D12" i="18"/>
  <c r="M37" i="11"/>
  <c r="M23" i="11"/>
  <c r="V349" i="30" s="1"/>
  <c r="B12" i="18"/>
  <c r="L72" i="9"/>
  <c r="L59" i="9" s="1"/>
  <c r="N33" i="11" s="1"/>
  <c r="J72" i="9"/>
  <c r="J59" i="9" s="1"/>
  <c r="K72" i="9"/>
  <c r="K59" i="9" s="1"/>
  <c r="H72" i="9"/>
  <c r="I72" i="9"/>
  <c r="I59" i="9" s="1"/>
  <c r="N19" i="11" s="1"/>
  <c r="M72" i="9"/>
  <c r="M59" i="9" s="1"/>
  <c r="N72" i="9"/>
  <c r="N59" i="9" s="1"/>
  <c r="E13" i="18" s="1"/>
  <c r="N43" i="11" s="1"/>
  <c r="N7" i="11"/>
  <c r="N8" i="11" s="1"/>
  <c r="O71" i="9"/>
  <c r="H58" i="9"/>
  <c r="W359" i="30" l="1"/>
  <c r="AK582" i="30" s="1"/>
  <c r="AO582" i="30" s="1"/>
  <c r="W345" i="30"/>
  <c r="AK579" i="30" s="1"/>
  <c r="AJ588" i="30" s="1"/>
  <c r="AL579" i="30"/>
  <c r="AP579" i="30" s="1"/>
  <c r="AN579" i="30"/>
  <c r="E66" i="30"/>
  <c r="E108" i="30" s="1"/>
  <c r="V354" i="30"/>
  <c r="AQ551" i="30"/>
  <c r="AP560" i="30" s="1"/>
  <c r="AL560" i="30"/>
  <c r="AL584" i="30"/>
  <c r="AP584" i="30" s="1"/>
  <c r="AN584" i="30"/>
  <c r="G66" i="30"/>
  <c r="G108" i="30" s="1"/>
  <c r="V363" i="30"/>
  <c r="AJ591" i="30"/>
  <c r="W369" i="30"/>
  <c r="AK584" i="30" s="1"/>
  <c r="AM550" i="30"/>
  <c r="AO550" i="30"/>
  <c r="AJ581" i="30"/>
  <c r="AJ559" i="30"/>
  <c r="AQ548" i="30"/>
  <c r="AL557" i="30"/>
  <c r="AL582" i="30"/>
  <c r="AP582" i="30" s="1"/>
  <c r="AN582" i="30"/>
  <c r="AQ553" i="30"/>
  <c r="AP562" i="30" s="1"/>
  <c r="AL562" i="30"/>
  <c r="AO488" i="30"/>
  <c r="AN497" i="30" s="1"/>
  <c r="AQ488" i="30"/>
  <c r="AP497" i="30" s="1"/>
  <c r="AO486" i="30"/>
  <c r="AN495" i="30" s="1"/>
  <c r="AQ486" i="30"/>
  <c r="AP495" i="30" s="1"/>
  <c r="D66" i="30"/>
  <c r="D108" i="30" s="1"/>
  <c r="AH487" i="30"/>
  <c r="AG518" i="30" s="1"/>
  <c r="E208" i="30"/>
  <c r="C208" i="30"/>
  <c r="AG497" i="30"/>
  <c r="C67" i="30"/>
  <c r="C109" i="30" s="1"/>
  <c r="F67" i="30"/>
  <c r="F109" i="30" s="1"/>
  <c r="M38" i="11"/>
  <c r="V364" i="30" s="1"/>
  <c r="AG495" i="30"/>
  <c r="M15" i="11"/>
  <c r="V341" i="30" s="1"/>
  <c r="O58" i="9"/>
  <c r="D13" i="18"/>
  <c r="N37" i="11"/>
  <c r="B13" i="18"/>
  <c r="N23" i="11"/>
  <c r="O72" i="9"/>
  <c r="H59" i="9"/>
  <c r="M24" i="11"/>
  <c r="V350" i="30" s="1"/>
  <c r="F12" i="18"/>
  <c r="M53" i="11" s="1"/>
  <c r="C13" i="18"/>
  <c r="N29" i="11" s="1"/>
  <c r="N28" i="11"/>
  <c r="AM582" i="30" l="1"/>
  <c r="AL591" i="30" s="1"/>
  <c r="AO579" i="30"/>
  <c r="AM579" i="30"/>
  <c r="AL588" i="30" s="1"/>
  <c r="W349" i="30"/>
  <c r="AQ582" i="30"/>
  <c r="AP591" i="30" s="1"/>
  <c r="W355" i="30"/>
  <c r="AK581" i="30" s="1"/>
  <c r="AM584" i="30"/>
  <c r="AO584" i="30"/>
  <c r="AN593" i="30" s="1"/>
  <c r="AJ593" i="30"/>
  <c r="AN588" i="30"/>
  <c r="V374" i="30"/>
  <c r="AK549" i="30"/>
  <c r="V373" i="30"/>
  <c r="AK547" i="30"/>
  <c r="AN591" i="30"/>
  <c r="E67" i="30"/>
  <c r="E109" i="30" s="1"/>
  <c r="W354" i="30"/>
  <c r="G67" i="30"/>
  <c r="G109" i="30" s="1"/>
  <c r="W363" i="30"/>
  <c r="AQ550" i="30"/>
  <c r="AL559" i="30"/>
  <c r="AL581" i="30"/>
  <c r="AP581" i="30" s="1"/>
  <c r="AN581" i="30"/>
  <c r="AO487" i="30"/>
  <c r="AQ487" i="30"/>
  <c r="M48" i="11"/>
  <c r="M58" i="11" s="1"/>
  <c r="C209" i="30"/>
  <c r="D208" i="30"/>
  <c r="AO519" i="30"/>
  <c r="AG550" i="30"/>
  <c r="AQ519" i="30"/>
  <c r="AG526" i="30"/>
  <c r="AN517" i="30"/>
  <c r="AP517" i="30"/>
  <c r="E209" i="30"/>
  <c r="AO517" i="30"/>
  <c r="AG548" i="30"/>
  <c r="AQ517" i="30"/>
  <c r="AG496" i="30"/>
  <c r="AN496" i="30"/>
  <c r="AP496" i="30"/>
  <c r="M47" i="11"/>
  <c r="B66" i="30"/>
  <c r="B108" i="30" s="1"/>
  <c r="N38" i="11"/>
  <c r="D67" i="30"/>
  <c r="D109" i="30" s="1"/>
  <c r="AG528" i="30"/>
  <c r="AN519" i="30"/>
  <c r="AP519" i="30"/>
  <c r="N24" i="11"/>
  <c r="F13" i="18"/>
  <c r="N53" i="11" s="1"/>
  <c r="N15" i="11"/>
  <c r="O59" i="9"/>
  <c r="M10" i="11"/>
  <c r="D38" i="30" s="1"/>
  <c r="E38" i="30" s="1"/>
  <c r="P58" i="9"/>
  <c r="M52" i="11"/>
  <c r="AQ579" i="30" l="1"/>
  <c r="AP588" i="30" s="1"/>
  <c r="W341" i="30"/>
  <c r="AK578" i="30" s="1"/>
  <c r="W350" i="30"/>
  <c r="AK580" i="30" s="1"/>
  <c r="W364" i="30"/>
  <c r="AK583" i="30" s="1"/>
  <c r="AM549" i="30"/>
  <c r="AO549" i="30"/>
  <c r="AJ580" i="30"/>
  <c r="AJ558" i="30"/>
  <c r="AM547" i="30"/>
  <c r="AJ578" i="30"/>
  <c r="AO547" i="30"/>
  <c r="AJ556" i="30"/>
  <c r="AM581" i="30"/>
  <c r="AO581" i="30"/>
  <c r="AN590" i="30" s="1"/>
  <c r="AJ590" i="30"/>
  <c r="AL593" i="30"/>
  <c r="AQ584" i="30"/>
  <c r="AP593" i="30" s="1"/>
  <c r="AN528" i="30"/>
  <c r="AP526" i="30"/>
  <c r="B67" i="30"/>
  <c r="B109" i="30" s="1"/>
  <c r="AG549" i="30"/>
  <c r="AO518" i="30"/>
  <c r="AQ518" i="30"/>
  <c r="AP528" i="30"/>
  <c r="AG527" i="30"/>
  <c r="AN518" i="30"/>
  <c r="AP518" i="30"/>
  <c r="AH485" i="30"/>
  <c r="AH492" i="30" s="1"/>
  <c r="AG557" i="30"/>
  <c r="AN548" i="30"/>
  <c r="AN557" i="30" s="1"/>
  <c r="AP548" i="30"/>
  <c r="AP557" i="30" s="1"/>
  <c r="AG559" i="30"/>
  <c r="AN550" i="30"/>
  <c r="AN559" i="30" s="1"/>
  <c r="AP550" i="30"/>
  <c r="AP559" i="30" s="1"/>
  <c r="D209" i="30"/>
  <c r="M57" i="11"/>
  <c r="I66" i="30"/>
  <c r="AN526" i="30"/>
  <c r="P59" i="9"/>
  <c r="N10" i="11"/>
  <c r="D39" i="30" s="1"/>
  <c r="E39" i="30" s="1"/>
  <c r="N52" i="11"/>
  <c r="N47" i="11"/>
  <c r="N48" i="11"/>
  <c r="N58" i="11" s="1"/>
  <c r="W373" i="30" l="1"/>
  <c r="W374" i="30"/>
  <c r="AM580" i="30"/>
  <c r="AO580" i="30"/>
  <c r="AJ589" i="30"/>
  <c r="AM578" i="30"/>
  <c r="AO578" i="30"/>
  <c r="AJ587" i="30"/>
  <c r="AL578" i="30"/>
  <c r="AP578" i="30" s="1"/>
  <c r="AN578" i="30"/>
  <c r="AQ549" i="30"/>
  <c r="AL558" i="30"/>
  <c r="AQ581" i="30"/>
  <c r="AP590" i="30" s="1"/>
  <c r="AL590" i="30"/>
  <c r="AQ547" i="30"/>
  <c r="AL556" i="30"/>
  <c r="AM583" i="30"/>
  <c r="AJ592" i="30"/>
  <c r="AO583" i="30"/>
  <c r="AN592" i="30" s="1"/>
  <c r="AL580" i="30"/>
  <c r="AP580" i="30" s="1"/>
  <c r="AN580" i="30"/>
  <c r="AN527" i="30"/>
  <c r="AG494" i="30"/>
  <c r="AG516" i="30"/>
  <c r="AG523" i="30" s="1"/>
  <c r="AO485" i="30"/>
  <c r="AN494" i="30" s="1"/>
  <c r="AQ485" i="30"/>
  <c r="AP494" i="30" s="1"/>
  <c r="AH516" i="30"/>
  <c r="AH523" i="30" s="1"/>
  <c r="AG558" i="30"/>
  <c r="AN549" i="30"/>
  <c r="AN558" i="30" s="1"/>
  <c r="AP549" i="30"/>
  <c r="AP527" i="30"/>
  <c r="I67" i="30"/>
  <c r="N57" i="11"/>
  <c r="AN589" i="30" l="1"/>
  <c r="AL592" i="30"/>
  <c r="AQ583" i="30"/>
  <c r="AP592" i="30" s="1"/>
  <c r="AQ580" i="30"/>
  <c r="AP589" i="30" s="1"/>
  <c r="AL589" i="30"/>
  <c r="AP558" i="30"/>
  <c r="AN587" i="30"/>
  <c r="AQ578" i="30"/>
  <c r="AP587" i="30" s="1"/>
  <c r="AL587" i="30"/>
  <c r="AG547" i="30"/>
  <c r="AG554" i="30" s="1"/>
  <c r="AO516" i="30"/>
  <c r="AG525" i="30"/>
  <c r="AQ516" i="30"/>
  <c r="AP516" i="30"/>
  <c r="AN516" i="30"/>
  <c r="AN525" i="30" l="1"/>
  <c r="AG556" i="30"/>
  <c r="AN547" i="30"/>
  <c r="AN556" i="30" s="1"/>
  <c r="AP547" i="30"/>
  <c r="AP556" i="30" s="1"/>
  <c r="AP525" i="30"/>
  <c r="V11" i="30" l="1"/>
  <c r="AC540" i="30" s="1"/>
  <c r="V8" i="30"/>
  <c r="AC537" i="30" s="1"/>
  <c r="V10" i="30"/>
  <c r="AC539" i="30" s="1"/>
  <c r="V9" i="30"/>
  <c r="AC538" i="30" s="1"/>
  <c r="V6" i="30"/>
  <c r="AC535" i="30" s="1"/>
  <c r="V7" i="30"/>
  <c r="AC536" i="30" s="1"/>
  <c r="AD540" i="30" l="1"/>
  <c r="AE540" i="30" s="1"/>
  <c r="AB571" i="30"/>
  <c r="AB566" i="30"/>
  <c r="AD535" i="30"/>
  <c r="AE535" i="30" s="1"/>
  <c r="AD537" i="30"/>
  <c r="AE537" i="30" s="1"/>
  <c r="AB568" i="30"/>
  <c r="AB567" i="30"/>
  <c r="AD536" i="30"/>
  <c r="AE536" i="30" s="1"/>
  <c r="AD538" i="30"/>
  <c r="AE538" i="30" s="1"/>
  <c r="AB569" i="30"/>
  <c r="AD539" i="30"/>
  <c r="AE539" i="30" s="1"/>
  <c r="AB570" i="30"/>
  <c r="V5" i="30"/>
  <c r="AC534" i="30" l="1"/>
  <c r="V12" i="30"/>
  <c r="V19" i="30" s="1"/>
  <c r="AB565" i="30" l="1"/>
  <c r="AB572" i="30" s="1"/>
  <c r="AD534" i="30"/>
  <c r="AE534" i="30" s="1"/>
  <c r="AC541" i="30"/>
  <c r="AD541" i="30" s="1"/>
  <c r="AE541" i="30" s="1"/>
  <c r="W11" i="30" l="1"/>
  <c r="W10" i="30" l="1"/>
  <c r="W6" i="30"/>
  <c r="W9" i="30" l="1"/>
  <c r="W7" i="30" l="1"/>
  <c r="W8" i="30"/>
  <c r="W5" i="30"/>
  <c r="W12" i="30" l="1"/>
  <c r="W19" i="30" s="1"/>
  <c r="X8" i="30" l="1"/>
  <c r="AC568" i="30" s="1"/>
  <c r="AD568" i="30" s="1"/>
  <c r="AE568" i="30" s="1"/>
  <c r="X11" i="30" l="1"/>
  <c r="AC571" i="30" s="1"/>
  <c r="AD571" i="30" s="1"/>
  <c r="AE571" i="30" s="1"/>
  <c r="X10" i="30"/>
  <c r="AC570" i="30" s="1"/>
  <c r="AD570" i="30" s="1"/>
  <c r="AE570" i="30" s="1"/>
  <c r="X7" i="30"/>
  <c r="AC567" i="30" s="1"/>
  <c r="AD567" i="30" s="1"/>
  <c r="AE567" i="30" s="1"/>
  <c r="X6" i="30"/>
  <c r="AC566" i="30" s="1"/>
  <c r="AD566" i="30" s="1"/>
  <c r="AE566" i="30" s="1"/>
  <c r="X9" i="30"/>
  <c r="AC569" i="30" s="1"/>
  <c r="AD569" i="30" s="1"/>
  <c r="AE569" i="30" s="1"/>
  <c r="X5" i="30" l="1"/>
  <c r="X12" i="30" l="1"/>
  <c r="X19" i="30" s="1"/>
  <c r="AC565" i="30"/>
  <c r="AC572" i="30" l="1"/>
  <c r="AD572" i="30" s="1"/>
  <c r="AE572" i="30" s="1"/>
  <c r="AD565" i="30"/>
  <c r="AE565" i="30" s="1"/>
</calcChain>
</file>

<file path=xl/comments1.xml><?xml version="1.0" encoding="utf-8"?>
<comments xmlns="http://schemas.openxmlformats.org/spreadsheetml/2006/main">
  <authors>
    <author>Cindy Perrin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Cindy Perrin:</t>
        </r>
        <r>
          <rPr>
            <sz val="9"/>
            <color indexed="81"/>
            <rFont val="Tahoma"/>
            <family val="2"/>
          </rPr>
          <t xml:space="preserve">
see file
CDM Activity
"2006-2010 Final OPA CDM Results"</t>
        </r>
      </text>
    </comment>
  </commentList>
</comments>
</file>

<file path=xl/sharedStrings.xml><?xml version="1.0" encoding="utf-8"?>
<sst xmlns="http://schemas.openxmlformats.org/spreadsheetml/2006/main" count="610" uniqueCount="300">
  <si>
    <t>Purchased</t>
  </si>
  <si>
    <t>Loss Factor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</si>
  <si>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</si>
  <si>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</si>
  <si>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</si>
  <si>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</si>
  <si>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</si>
  <si>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</si>
  <si>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</si>
  <si>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</si>
  <si>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</si>
  <si>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</si>
  <si>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</si>
  <si>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</si>
  <si>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</si>
  <si>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</si>
  <si>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</si>
  <si>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</si>
  <si>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</si>
  <si>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</si>
  <si>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</si>
  <si>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</si>
  <si>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</si>
  <si>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</si>
  <si>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</si>
  <si>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</si>
  <si>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</si>
  <si>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</si>
  <si>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</si>
  <si>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</si>
  <si>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</si>
  <si>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</si>
  <si>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</si>
  <si>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</si>
  <si>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</si>
  <si>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</si>
  <si>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</si>
  <si>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</si>
  <si>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</si>
  <si>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</si>
  <si>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</si>
  <si>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</si>
  <si>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</si>
  <si>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</si>
  <si>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</si>
  <si>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</si>
  <si>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</si>
  <si>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</si>
  <si>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</si>
  <si>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</si>
  <si>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</si>
  <si>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</si>
  <si>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</si>
  <si>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</si>
  <si>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</si>
  <si>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</si>
  <si>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</si>
  <si>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</si>
  <si>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</si>
  <si>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</si>
  <si>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</si>
  <si>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</si>
  <si>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2008 Actual</t>
  </si>
  <si>
    <t>Number of Customers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</si>
  <si>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</si>
  <si>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</si>
  <si>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</si>
  <si>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</si>
  <si>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</si>
  <si>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 xml:space="preserve">2010 Actual 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</si>
  <si>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</si>
  <si>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</si>
  <si>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</si>
  <si>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</si>
  <si>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</si>
  <si>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</si>
  <si>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</si>
  <si>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</si>
  <si>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</si>
  <si>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</si>
  <si>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</si>
  <si>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</si>
  <si>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</si>
  <si>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</si>
  <si>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</si>
  <si>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</si>
  <si>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</si>
  <si>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</si>
  <si>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Trend</t>
  </si>
  <si>
    <t>Tried but not used - all have bad stats.</t>
  </si>
  <si>
    <t>CDM Activity</t>
  </si>
  <si>
    <t>Total Annual CDM Results</t>
  </si>
  <si>
    <t>Increase over previous year</t>
  </si>
  <si>
    <t>4 Year 2011 to 2014 target</t>
  </si>
  <si>
    <t>Check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</si>
  <si>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</si>
  <si>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</si>
  <si>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</si>
  <si>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</si>
  <si>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</si>
  <si>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</si>
  <si>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</si>
  <si>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</si>
  <si>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</si>
  <si>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</si>
  <si>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</si>
  <si>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</si>
  <si>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2011 Actual </t>
  </si>
  <si>
    <t>2011 Programs</t>
  </si>
  <si>
    <t>2012 Programs</t>
  </si>
  <si>
    <t>2013 Programs</t>
  </si>
  <si>
    <t>2014 Programs</t>
  </si>
  <si>
    <t>Appendix 2-P</t>
  </si>
  <si>
    <t>Loss Factors</t>
  </si>
  <si>
    <t>Historical Years</t>
  </si>
  <si>
    <t>5-Year Average</t>
  </si>
  <si>
    <t>Losses Within Distributor's System</t>
  </si>
  <si>
    <t>A(1)</t>
  </si>
  <si>
    <t>"Wholesale" kWh delivered to distributor (higher value)</t>
  </si>
  <si>
    <t>A(2)</t>
  </si>
  <si>
    <t>"Wholesale" kWh delivered to distributor (lower value)</t>
  </si>
  <si>
    <t>B</t>
  </si>
  <si>
    <t>Portion of "Wholesale" kWh delivered to distributor for its Large Use Customer(s)</t>
  </si>
  <si>
    <t>C</t>
  </si>
  <si>
    <r>
      <t xml:space="preserve">Net "Wholesale" kWh delivered to distributor  = </t>
    </r>
    <r>
      <rPr>
        <b/>
        <sz val="10"/>
        <rFont val="Arial"/>
        <family val="2"/>
      </rPr>
      <t>A(2) - B</t>
    </r>
  </si>
  <si>
    <t>D</t>
  </si>
  <si>
    <t>"Retail" kWh delivered by distributor</t>
  </si>
  <si>
    <t>E</t>
  </si>
  <si>
    <t>Portion of "Retail" kWh delivered by distributor to its Large Use Customer(s)</t>
  </si>
  <si>
    <r>
      <t xml:space="preserve">Net "Retail" kWh delivered by distributor = </t>
    </r>
    <r>
      <rPr>
        <b/>
        <sz val="10"/>
        <rFont val="Arial"/>
        <family val="2"/>
      </rPr>
      <t>D - E</t>
    </r>
  </si>
  <si>
    <t>G</t>
  </si>
  <si>
    <r>
      <t xml:space="preserve">Loss Factor in Distributor's system = </t>
    </r>
    <r>
      <rPr>
        <b/>
        <sz val="10"/>
        <rFont val="Arial"/>
        <family val="2"/>
      </rPr>
      <t>C / F</t>
    </r>
  </si>
  <si>
    <t>Losses Upstream of Distributor's System</t>
  </si>
  <si>
    <t>H</t>
  </si>
  <si>
    <t>Supply Facilities Loss Factor</t>
  </si>
  <si>
    <t>Total Losses</t>
  </si>
  <si>
    <t>I</t>
  </si>
  <si>
    <r>
      <t xml:space="preserve">Total Loss Factor = </t>
    </r>
    <r>
      <rPr>
        <b/>
        <sz val="10"/>
        <rFont val="Arial"/>
        <family val="2"/>
      </rPr>
      <t>G x H</t>
    </r>
  </si>
  <si>
    <t>Hydro One Metered</t>
  </si>
  <si>
    <t>Total OPA Annual CDM Results up to 2010 Half Year Rule(Net)</t>
  </si>
  <si>
    <t>2015 Programs</t>
  </si>
  <si>
    <t>2016 Programs</t>
  </si>
  <si>
    <t>`</t>
  </si>
  <si>
    <t>Check totals above sould be zero</t>
  </si>
  <si>
    <t xml:space="preserve">2012 Actual </t>
  </si>
  <si>
    <t xml:space="preserve">2013 Actual </t>
  </si>
  <si>
    <t xml:space="preserve">2014 Actual </t>
  </si>
  <si>
    <t>2016 Weather Normal</t>
  </si>
  <si>
    <t>CDM Purchase Adjustment</t>
  </si>
  <si>
    <t>Predicted kWh Purchases after CDM</t>
  </si>
  <si>
    <t xml:space="preserve"> 2015 to 2020 E.L.K Enegy Target</t>
  </si>
  <si>
    <t>2017 Programs</t>
  </si>
  <si>
    <t>E.L.K. Energy Weather Normal Load Forecast for 2017 Rate Application</t>
  </si>
  <si>
    <t>Total to 2015</t>
  </si>
  <si>
    <t xml:space="preserve">2015 Actual </t>
  </si>
  <si>
    <t>2017 Weather Normal</t>
  </si>
  <si>
    <t>Table 3-1: Summary of Operating Revenue</t>
  </si>
  <si>
    <t>2011 
Actual</t>
  </si>
  <si>
    <t>2012 Board Approved</t>
  </si>
  <si>
    <t>2012
Actual</t>
  </si>
  <si>
    <t>2013
Actual</t>
  </si>
  <si>
    <t>2014
Actual</t>
  </si>
  <si>
    <t>2015
Actual</t>
  </si>
  <si>
    <t>2016
Bridge</t>
  </si>
  <si>
    <t>2017 Test at Current Rates</t>
  </si>
  <si>
    <t>2017 Test at Proposed Rates</t>
  </si>
  <si>
    <t>Distribution Throughput Revenue</t>
  </si>
  <si>
    <t>Residential</t>
  </si>
  <si>
    <t>GS&lt;50</t>
  </si>
  <si>
    <t>GS&gt;50</t>
  </si>
  <si>
    <t>Street Lights</t>
  </si>
  <si>
    <t>Other Distribution Revenue</t>
  </si>
  <si>
    <t>Late Payment Charges</t>
  </si>
  <si>
    <t>Specific Service Charges</t>
  </si>
  <si>
    <t>Grand Total</t>
  </si>
  <si>
    <t>Table 3-2: Summary of Load and Customer/Connection Forecast</t>
  </si>
  <si>
    <t>Year</t>
  </si>
  <si>
    <t>Billed 
Actual
(GWh)</t>
  </si>
  <si>
    <t>Growth 
(GWh)</t>
  </si>
  <si>
    <t>Billed 
Weather 
Normal
(GWh)</t>
  </si>
  <si>
    <t>Customer/
Connection
Count</t>
  </si>
  <si>
    <t xml:space="preserve">Growth </t>
  </si>
  <si>
    <t>Billed Energy (GWh) and Customer Count / Connections</t>
  </si>
  <si>
    <t>2016 Bridge</t>
  </si>
  <si>
    <t>2017 Test</t>
  </si>
  <si>
    <t>Table 3-3 Billed Energy by Rate Class</t>
  </si>
  <si>
    <t>Billed Energy (GWh) - Actual</t>
  </si>
  <si>
    <t>Billed Energy (GWh) - Weather Normal</t>
  </si>
  <si>
    <t>Table 3-4: Number of Customers/Connections  and Annual Normalized Usage by Rate Class</t>
  </si>
  <si>
    <t>Number of Customers/Connections</t>
  </si>
  <si>
    <t>Actual Annual Energy Usage per Customer/Connection (kWh per customer/connection)</t>
  </si>
  <si>
    <t>Normalized Annual Energy Usage per Customer/Connection (kWh per customer/connection)</t>
  </si>
  <si>
    <t>Table 3-5: Statistcial Results</t>
  </si>
  <si>
    <t>F Test</t>
  </si>
  <si>
    <t xml:space="preserve">MAPE (Monthly) </t>
  </si>
  <si>
    <t>T-stats by Coefficient</t>
  </si>
  <si>
    <t>Constant</t>
  </si>
  <si>
    <t>Table 3-6: Total System Purchases Excluding Large Use</t>
  </si>
  <si>
    <t xml:space="preserve">Actual </t>
  </si>
  <si>
    <t xml:space="preserve">Predicted </t>
  </si>
  <si>
    <t>Predicted 
Weather 
Normal</t>
  </si>
  <si>
    <t>Weather 
Normal Conversion 
Factor</t>
  </si>
  <si>
    <t>Actual 
Weather 
Normal</t>
  </si>
  <si>
    <t>Purchased Energy (GWh)</t>
  </si>
  <si>
    <t>2017 WN - 20 year trend</t>
  </si>
  <si>
    <t>Table 3-7: Historical Customer/Connection Data</t>
  </si>
  <si>
    <t>Table 3-8: Growth Rate in Customer/Connections</t>
  </si>
  <si>
    <t>Growth Rate in Customers/Connections</t>
  </si>
  <si>
    <t>Geometric Mean</t>
  </si>
  <si>
    <t>Table 3-9: Customer/Connection Forecast</t>
  </si>
  <si>
    <t>Forecast Number of Customers/Connections</t>
  </si>
  <si>
    <t>Table 3-10: Historical Annual Usage per Customer</t>
  </si>
  <si>
    <t xml:space="preserve">Annual kWh Usage Per Customer/Connection </t>
  </si>
  <si>
    <t>Table 3-11: Growth Rate in Usage Per Customer/Connection</t>
  </si>
  <si>
    <t>Growth Rate in Customer/Connection</t>
  </si>
  <si>
    <t>Table 3-12: Forecast Annual kWh Usage per Customer/Connection</t>
  </si>
  <si>
    <t>Forecast Annual kWh Usage per Customers/Connection</t>
  </si>
  <si>
    <t>Table 3-13: Non-normalized Weather Billed Energy Forecast</t>
  </si>
  <si>
    <t>NON-normalized Weather Billed Energy Forecast (GWh)</t>
  </si>
  <si>
    <t>Table 3-14: Weather Sensitivity by Rate Class</t>
  </si>
  <si>
    <t>Weather Sensitivity</t>
  </si>
  <si>
    <t>Table 3-15: 2015-2027 Expected Full Year Total kWh Savings</t>
  </si>
  <si>
    <t>Total Applicaable to Target</t>
  </si>
  <si>
    <t>Total Including Persistence</t>
  </si>
  <si>
    <t>Table 3-16: 2015-2027 Expected Full Year Residential kWh Savings</t>
  </si>
  <si>
    <t>Table 3-17: 2015-2027 Expected Full Year GS &lt; 50 KW kWh Savings</t>
  </si>
  <si>
    <t>Table 3-18: 2015-2027 Expected Full Year GS &gt; 50 KW kWh Savings</t>
  </si>
  <si>
    <t>Table 3-19: Manual CDM Adjsutment by Rate Class (kWh)</t>
  </si>
  <si>
    <t>Table 3-20: 2017 Expected CDM Savings by Rate Class for LRAM Variance Account</t>
  </si>
  <si>
    <t>2017 Test - kWh</t>
  </si>
  <si>
    <t>2017 Test - kW Annual</t>
  </si>
  <si>
    <t>2017 Test - kW Monthly</t>
  </si>
  <si>
    <t xml:space="preserve">Table 3-21: Alignment of Non-normal to Weather Normal Forecast </t>
  </si>
  <si>
    <t>Non-normalized Weather Billed Energy Forecast (GWh)</t>
  </si>
  <si>
    <t>Weather Adjustment (GWh)</t>
  </si>
  <si>
    <t>CDM Adjustment (GWh)</t>
  </si>
  <si>
    <t>Weather Normalized Billed Energy Forecast (GWh)</t>
  </si>
  <si>
    <t>Table 3-22: Historical Annual kW per Applicable Rate Class</t>
  </si>
  <si>
    <t>Billed Annual kW</t>
  </si>
  <si>
    <t>Actual</t>
  </si>
  <si>
    <t>Weather Normal</t>
  </si>
  <si>
    <t>Table 3-23: Historical kW/KWh Ratio per Applicable Rate Class</t>
  </si>
  <si>
    <t>Ratio of kW to kWh</t>
  </si>
  <si>
    <t>Table 3-24: kW Forecast by Applicable Rate Class</t>
  </si>
  <si>
    <t>Predicted Billed kW</t>
  </si>
  <si>
    <t>Table 3-25: Summary of Forecast</t>
  </si>
  <si>
    <t>2012 
Actual</t>
  </si>
  <si>
    <t>2013 
Actual</t>
  </si>
  <si>
    <t>2014 
Actual</t>
  </si>
  <si>
    <t>2015 
Actual</t>
  </si>
  <si>
    <t xml:space="preserve">2016  Bridge </t>
  </si>
  <si>
    <t>2017
Test</t>
  </si>
  <si>
    <t>Predicted kWh Purchases before CDM adjustment</t>
  </si>
  <si>
    <t>% Difference between actual and predicted purchases</t>
  </si>
  <si>
    <t>Total Billed Before CDM Adjustments</t>
  </si>
  <si>
    <t>CDM Adjustment</t>
  </si>
  <si>
    <t>Total Billed After Adjustments</t>
  </si>
  <si>
    <t>Billing Determinants</t>
  </si>
  <si>
    <t xml:space="preserve">  kW from applicable
  classes</t>
  </si>
  <si>
    <t>Table 3-26: Comparison 2012 Actual to 2012 Board Approved</t>
  </si>
  <si>
    <t>Throughput Revenue</t>
  </si>
  <si>
    <t>2012 Actual</t>
  </si>
  <si>
    <t>Difference $</t>
  </si>
  <si>
    <t>Difference %</t>
  </si>
  <si>
    <t>Table 3-27: Comparison 2012 Actual to 2012 Board Approved</t>
  </si>
  <si>
    <t>Billing Quantiites</t>
  </si>
  <si>
    <t>Customers / 
Connections</t>
  </si>
  <si>
    <t>Units</t>
  </si>
  <si>
    <t>Volume</t>
  </si>
  <si>
    <t xml:space="preserve">Volume Weather Normal </t>
  </si>
  <si>
    <t>Annual Usage Per Customer / Connection</t>
  </si>
  <si>
    <t>Annual Usage Per Customer / Connection Weather Normal</t>
  </si>
  <si>
    <t>kWh</t>
  </si>
  <si>
    <t>kW</t>
  </si>
  <si>
    <t>Variance</t>
  </si>
  <si>
    <t>Table 3-28: Comparison 2011 Actual to 2012 Actual</t>
  </si>
  <si>
    <t>Table 3-29: Comparison 2011 Actual to 2012 Actual</t>
  </si>
  <si>
    <t>Table 3-30: Comparison 2012 Actual to 2013 Actual</t>
  </si>
  <si>
    <t>Table 3-31: Comparison 2012 Actual to 2013 Actual</t>
  </si>
  <si>
    <t>Table 3-32: Comparison 2013 Actual to 2014 Actual</t>
  </si>
  <si>
    <t>Table 3-33: Comparison 2013 Actual to 2014 Actual</t>
  </si>
  <si>
    <t>Table 3-34: Comparison 2014 Actual to 2015 Actual</t>
  </si>
  <si>
    <t>Table 3-35: Comparison 2014 Actual to 2015 Actual</t>
  </si>
  <si>
    <t>Table 3-36: Comparison 2015 Actual to 2016 Bridge</t>
  </si>
  <si>
    <t>Table 3-37: Comparison 2015 Actual to 2016 Bridge</t>
  </si>
  <si>
    <t>Table 3-38: Comparison 2016 Bridge to 2017 Test</t>
  </si>
  <si>
    <t>Table 3-39: Comparison 2016 Bridge to 2017 Test</t>
  </si>
  <si>
    <t>Weather Noraml Factor</t>
  </si>
  <si>
    <t>Street 
Lights</t>
  </si>
  <si>
    <t>Embedded Distributor</t>
  </si>
  <si>
    <t>% Variance</t>
  </si>
  <si>
    <t>Average 2006 to 2015</t>
  </si>
  <si>
    <t>Embedded Distributor Usage</t>
  </si>
  <si>
    <t>Other Operating Revenues</t>
  </si>
  <si>
    <t>Other Income or Deductions</t>
  </si>
  <si>
    <t>Based 2012 and 2013 Actual on 2015 %age as RRR filing did not match FS</t>
  </si>
  <si>
    <t>CDM</t>
  </si>
  <si>
    <t>Streetlights</t>
  </si>
  <si>
    <t>Unmetered Scattered Load</t>
  </si>
  <si>
    <t>Sentinel 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</si>
</sst>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&quot;$&quot;#,##0_);\(&quot;$&quot;#,##0\)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#,##0.0"/>
    <numFmt numFmtId="172" formatCode="_(* #,##0_);_(* \(#,##0\);_(* &quot;-&quot;??_);_(@_)"/>
    <numFmt numFmtId="173" formatCode="&quot;$&quot;#,##0"/>
    <numFmt numFmtId="174" formatCode="_-* #,##0_-;\-* #,##0_-;_-* &quot;-&quot;??_-;_-@_-"/>
    <numFmt numFmtId="175" formatCode="#,##0.00000"/>
    <numFmt numFmtId="176" formatCode="0.000"/>
    <numFmt numFmtId="177" formatCode="_(* #,##0.0_);_(* \(#,##0.0\);_(* &quot;-&quot;??_);_(@_)"/>
    <numFmt numFmtId="178" formatCode="mm/dd/yyyy"/>
    <numFmt numFmtId="179" formatCode="0\-0"/>
    <numFmt numFmtId="180" formatCode="_(&quot;$&quot;* #,##0.00_);_(&quot;$&quot;* \(#,##0.00\);_(&quot;$&quot;* &quot;-&quot;??_);_(@_)"/>
    <numFmt numFmtId="181" formatCode="##\-#"/>
    <numFmt numFmtId="182" formatCode="&quot;£ &quot;#,##0.00;[Red]\-&quot;£ &quot;#,##0.00"/>
    <numFmt numFmtId="183" formatCode="&quot;$&quot;#,##0.00"/>
    <numFmt numFmtId="184" formatCode="&quot;$&quot;#,##0.0000"/>
    <numFmt numFmtId="185" formatCode="&quot;$&quot;#,##0\);\(&quot;$&quot;#,##0\)"/>
    <numFmt numFmtId="186" formatCode="_-&quot;$&quot;* #,##0_-;\-&quot;$&quot;* #,##0_-;_-&quot;$&quot;* &quot;-&quot;??_-;_-@_-"/>
    <numFmt numFmtId="187" formatCode="&quot;$&quot;#,##0;&quot;$&quot;\-#,##0"/>
    <numFmt numFmtId="188" formatCode="0.0;\(0.0\)"/>
    <numFmt numFmtId="189" formatCode="0;\(0\)"/>
    <numFmt numFmtId="190" formatCode="0.0"/>
    <numFmt numFmtId="191" formatCode="0.0%;\(0.0%\)"/>
    <numFmt numFmtId="192" formatCode="#,##0.0;\(#,##0.0\)"/>
    <numFmt numFmtId="193" formatCode="0.0000%;\(0.0%\)"/>
    <numFmt numFmtId="194" formatCode="#,000;\(#,000\)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1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7" fontId="3" fillId="0" borderId="0"/>
    <xf numFmtId="171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8" fontId="3" fillId="0" borderId="0"/>
    <xf numFmtId="179" fontId="3" fillId="0" borderId="0"/>
    <xf numFmtId="178" fontId="3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13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25" fillId="7" borderId="0" applyNumberFormat="0" applyBorder="0" applyAlignment="0" applyProtection="0"/>
    <xf numFmtId="0" fontId="29" fillId="10" borderId="23" applyNumberFormat="0" applyAlignment="0" applyProtection="0"/>
    <xf numFmtId="0" fontId="31" fillId="11" borderId="26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4" fillId="6" borderId="0" applyNumberFormat="0" applyBorder="0" applyAlignment="0" applyProtection="0"/>
    <xf numFmtId="38" fontId="10" fillId="5" borderId="0" applyNumberFormat="0" applyBorder="0" applyAlignment="0" applyProtection="0"/>
    <xf numFmtId="38" fontId="10" fillId="5" borderId="0" applyNumberFormat="0" applyBorder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3" fillId="0" borderId="22" applyNumberFormat="0" applyFill="0" applyAlignment="0" applyProtection="0"/>
    <xf numFmtId="0" fontId="23" fillId="0" borderId="0" applyNumberFormat="0" applyFill="0" applyBorder="0" applyAlignment="0" applyProtection="0"/>
    <xf numFmtId="10" fontId="10" fillId="37" borderId="1" applyNumberFormat="0" applyBorder="0" applyAlignment="0" applyProtection="0"/>
    <xf numFmtId="10" fontId="10" fillId="37" borderId="1" applyNumberFormat="0" applyBorder="0" applyAlignment="0" applyProtection="0"/>
    <xf numFmtId="0" fontId="27" fillId="9" borderId="23" applyNumberFormat="0" applyAlignment="0" applyProtection="0"/>
    <xf numFmtId="0" fontId="30" fillId="0" borderId="25" applyNumberFormat="0" applyFill="0" applyAlignment="0" applyProtection="0"/>
    <xf numFmtId="181" fontId="3" fillId="0" borderId="0"/>
    <xf numFmtId="172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0" fontId="26" fillId="8" borderId="0" applyNumberFormat="0" applyBorder="0" applyAlignment="0" applyProtection="0"/>
    <xf numFmtId="182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12" borderId="27" applyNumberFormat="0" applyFont="0" applyAlignment="0" applyProtection="0"/>
    <xf numFmtId="0" fontId="28" fillId="10" borderId="24" applyNumberFormat="0" applyAlignment="0" applyProtection="0"/>
    <xf numFmtId="10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38" borderId="1" applyNumberFormat="0" applyProtection="0">
      <alignment horizontal="left" vertical="center"/>
    </xf>
    <xf numFmtId="0" fontId="36" fillId="0" borderId="0" applyNumberFormat="0" applyBorder="0" applyAlignment="0"/>
    <xf numFmtId="0" fontId="37" fillId="0" borderId="0" applyNumberFormat="0" applyBorder="0" applyAlignment="0"/>
    <xf numFmtId="0" fontId="38" fillId="0" borderId="0" applyNumberFormat="0" applyBorder="0" applyAlignment="0"/>
    <xf numFmtId="0" fontId="15" fillId="0" borderId="29">
      <alignment horizontal="center" vertical="center"/>
    </xf>
    <xf numFmtId="0" fontId="20" fillId="0" borderId="0" applyNumberFormat="0" applyFill="0" applyBorder="0" applyAlignment="0" applyProtection="0"/>
    <xf numFmtId="0" fontId="34" fillId="0" borderId="28" applyNumberFormat="0" applyFill="0" applyAlignment="0" applyProtection="0"/>
    <xf numFmtId="0" fontId="32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40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1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3" fontId="3" fillId="0" borderId="0" xfId="1" applyNumberFormat="1" applyAlignment="1">
      <alignment horizontal="center"/>
    </xf>
    <xf numFmtId="10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/>
    <xf numFmtId="17" fontId="6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Fill="1"/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6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3" fillId="0" borderId="0" xfId="0" applyFont="1" applyFill="1"/>
    <xf numFmtId="168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Continuous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3" fontId="0" fillId="0" borderId="0" xfId="1" applyNumberFormat="1" applyFont="1" applyAlignment="1">
      <alignment horizontal="center"/>
    </xf>
    <xf numFmtId="164" fontId="3" fillId="0" borderId="0" xfId="5" applyFont="1"/>
    <xf numFmtId="0" fontId="11" fillId="0" borderId="0" xfId="0" applyFont="1"/>
    <xf numFmtId="0" fontId="12" fillId="0" borderId="0" xfId="0" applyFont="1"/>
    <xf numFmtId="164" fontId="13" fillId="0" borderId="0" xfId="5" applyFont="1"/>
    <xf numFmtId="0" fontId="13" fillId="0" borderId="0" xfId="0" applyFont="1"/>
    <xf numFmtId="164" fontId="14" fillId="0" borderId="0" xfId="5" applyFont="1" applyAlignment="1">
      <alignment horizontal="right"/>
    </xf>
    <xf numFmtId="0" fontId="14" fillId="0" borderId="4" xfId="0" applyFont="1" applyBorder="1" applyAlignment="1">
      <alignment horizontal="right"/>
    </xf>
    <xf numFmtId="0" fontId="14" fillId="2" borderId="0" xfId="0" applyFont="1" applyFill="1"/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right"/>
    </xf>
    <xf numFmtId="0" fontId="0" fillId="2" borderId="0" xfId="0" applyFill="1"/>
    <xf numFmtId="0" fontId="14" fillId="0" borderId="4" xfId="0" applyFont="1" applyFill="1" applyBorder="1" applyAlignment="1">
      <alignment horizontal="right"/>
    </xf>
    <xf numFmtId="9" fontId="0" fillId="0" borderId="0" xfId="0" applyNumberFormat="1"/>
    <xf numFmtId="166" fontId="0" fillId="0" borderId="0" xfId="10" applyNumberFormat="1" applyFont="1" applyAlignment="1">
      <alignment horizontal="center"/>
    </xf>
    <xf numFmtId="174" fontId="3" fillId="0" borderId="0" xfId="4" applyNumberFormat="1"/>
    <xf numFmtId="167" fontId="0" fillId="0" borderId="0" xfId="0" applyNumberFormat="1"/>
    <xf numFmtId="166" fontId="0" fillId="0" borderId="0" xfId="10" applyNumberFormat="1" applyFont="1"/>
    <xf numFmtId="164" fontId="0" fillId="0" borderId="0" xfId="0" applyNumberFormat="1" applyAlignment="1">
      <alignment horizontal="center"/>
    </xf>
    <xf numFmtId="3" fontId="0" fillId="0" borderId="0" xfId="0" applyNumberFormat="1"/>
    <xf numFmtId="164" fontId="0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37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/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4" fontId="5" fillId="0" borderId="0" xfId="0" applyNumberFormat="1" applyFont="1" applyBorder="1" applyAlignment="1">
      <alignment horizontal="center" wrapText="1"/>
    </xf>
    <xf numFmtId="17" fontId="0" fillId="0" borderId="0" xfId="0" applyNumberFormat="1" applyBorder="1"/>
    <xf numFmtId="3" fontId="4" fillId="0" borderId="0" xfId="0" applyNumberFormat="1" applyFont="1" applyBorder="1" applyAlignment="1">
      <alignment horizontal="center"/>
    </xf>
    <xf numFmtId="37" fontId="4" fillId="0" borderId="0" xfId="0" applyNumberFormat="1" applyFont="1" applyFill="1" applyBorder="1" applyAlignment="1">
      <alignment horizontal="center"/>
    </xf>
    <xf numFmtId="37" fontId="4" fillId="0" borderId="0" xfId="0" applyNumberFormat="1" applyFont="1" applyBorder="1" applyAlignment="1">
      <alignment horizontal="center"/>
    </xf>
    <xf numFmtId="3" fontId="4" fillId="0" borderId="0" xfId="1" applyNumberFormat="1" applyFont="1" applyBorder="1" applyAlignment="1">
      <alignment horizontal="center" wrapText="1"/>
    </xf>
    <xf numFmtId="3" fontId="6" fillId="0" borderId="0" xfId="1" applyNumberFormat="1" applyFont="1" applyBorder="1" applyAlignment="1">
      <alignment horizontal="center" wrapText="1"/>
    </xf>
    <xf numFmtId="3" fontId="0" fillId="0" borderId="0" xfId="0" applyNumberForma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37" fontId="6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37" fontId="0" fillId="0" borderId="0" xfId="0" applyNumberForma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37" fontId="0" fillId="0" borderId="0" xfId="0" applyNumberFormat="1" applyBorder="1" applyAlignment="1">
      <alignment horizontal="center"/>
    </xf>
    <xf numFmtId="166" fontId="0" fillId="0" borderId="0" xfId="10" applyNumberFormat="1" applyFont="1" applyBorder="1" applyAlignment="1">
      <alignment horizontal="center"/>
    </xf>
    <xf numFmtId="1" fontId="0" fillId="0" borderId="0" xfId="0" applyNumberFormat="1" applyBorder="1"/>
    <xf numFmtId="166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0" fontId="6" fillId="4" borderId="1" xfId="0" applyFont="1" applyFill="1" applyBorder="1"/>
    <xf numFmtId="0" fontId="0" fillId="0" borderId="7" xfId="0" applyFill="1" applyBorder="1"/>
    <xf numFmtId="0" fontId="6" fillId="0" borderId="7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3" fontId="0" fillId="4" borderId="1" xfId="0" applyNumberFormat="1" applyFill="1" applyBorder="1" applyAlignment="1">
      <alignment vertical="top"/>
    </xf>
    <xf numFmtId="3" fontId="0" fillId="0" borderId="1" xfId="0" applyNumberFormat="1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0" borderId="8" xfId="0" applyBorder="1" applyAlignment="1">
      <alignment vertical="top"/>
    </xf>
    <xf numFmtId="176" fontId="0" fillId="0" borderId="1" xfId="0" applyNumberFormat="1" applyFill="1" applyBorder="1" applyAlignment="1">
      <alignment vertical="top"/>
    </xf>
    <xf numFmtId="176" fontId="0" fillId="0" borderId="8" xfId="0" applyNumberFormat="1" applyFill="1" applyBorder="1" applyAlignment="1">
      <alignment vertical="top"/>
    </xf>
    <xf numFmtId="0" fontId="0" fillId="0" borderId="7" xfId="0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176" fontId="0" fillId="0" borderId="10" xfId="0" applyNumberFormat="1" applyBorder="1" applyAlignment="1">
      <alignment vertical="top"/>
    </xf>
    <xf numFmtId="176" fontId="0" fillId="0" borderId="11" xfId="0" applyNumberFormat="1" applyBorder="1" applyAlignment="1">
      <alignment vertical="top"/>
    </xf>
    <xf numFmtId="3" fontId="0" fillId="0" borderId="8" xfId="0" applyNumberFormat="1" applyFill="1" applyBorder="1" applyAlignment="1">
      <alignment vertical="top"/>
    </xf>
    <xf numFmtId="175" fontId="0" fillId="0" borderId="0" xfId="0" applyNumberForma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11"/>
    <xf numFmtId="0" fontId="3" fillId="0" borderId="0" xfId="11" applyFont="1" applyAlignment="1">
      <alignment wrapText="1"/>
    </xf>
    <xf numFmtId="0" fontId="3" fillId="0" borderId="0" xfId="11" applyAlignment="1">
      <alignment wrapText="1"/>
    </xf>
    <xf numFmtId="3" fontId="3" fillId="0" borderId="0" xfId="11" applyNumberFormat="1" applyAlignment="1">
      <alignment wrapText="1"/>
    </xf>
    <xf numFmtId="0" fontId="3" fillId="0" borderId="1" xfId="11" applyBorder="1" applyAlignment="1">
      <alignment horizontal="center"/>
    </xf>
    <xf numFmtId="0" fontId="3" fillId="0" borderId="0" xfId="11" applyBorder="1" applyAlignment="1">
      <alignment horizontal="center"/>
    </xf>
    <xf numFmtId="174" fontId="3" fillId="0" borderId="0" xfId="11" applyNumberFormat="1"/>
    <xf numFmtId="0" fontId="3" fillId="0" borderId="13" xfId="11" applyBorder="1"/>
    <xf numFmtId="0" fontId="3" fillId="0" borderId="14" xfId="11" applyBorder="1" applyAlignment="1">
      <alignment horizontal="center"/>
    </xf>
    <xf numFmtId="0" fontId="3" fillId="0" borderId="15" xfId="11" applyBorder="1" applyAlignment="1">
      <alignment horizontal="center"/>
    </xf>
    <xf numFmtId="0" fontId="3" fillId="0" borderId="7" xfId="11" applyFont="1" applyBorder="1"/>
    <xf numFmtId="166" fontId="3" fillId="0" borderId="1" xfId="11" applyNumberFormat="1" applyFill="1" applyBorder="1" applyAlignment="1">
      <alignment horizontal="center"/>
    </xf>
    <xf numFmtId="166" fontId="3" fillId="0" borderId="1" xfId="11" applyNumberFormat="1" applyFill="1" applyBorder="1"/>
    <xf numFmtId="3" fontId="3" fillId="0" borderId="1" xfId="11" applyNumberFormat="1" applyBorder="1"/>
    <xf numFmtId="172" fontId="3" fillId="0" borderId="0" xfId="11" applyNumberFormat="1" applyFill="1"/>
    <xf numFmtId="3" fontId="3" fillId="0" borderId="1" xfId="11" applyNumberFormat="1" applyBorder="1" applyAlignment="1">
      <alignment horizontal="center"/>
    </xf>
    <xf numFmtId="3" fontId="3" fillId="0" borderId="8" xfId="11" applyNumberFormat="1" applyBorder="1" applyAlignment="1">
      <alignment horizontal="center"/>
    </xf>
    <xf numFmtId="0" fontId="3" fillId="0" borderId="1" xfId="11" applyBorder="1"/>
    <xf numFmtId="10" fontId="0" fillId="0" borderId="1" xfId="10" applyNumberFormat="1" applyFont="1" applyFill="1" applyBorder="1"/>
    <xf numFmtId="17" fontId="3" fillId="0" borderId="0" xfId="11" applyNumberFormat="1"/>
    <xf numFmtId="0" fontId="3" fillId="0" borderId="9" xfId="11" applyFont="1" applyFill="1" applyBorder="1"/>
    <xf numFmtId="0" fontId="3" fillId="0" borderId="10" xfId="11" applyBorder="1"/>
    <xf numFmtId="3" fontId="3" fillId="0" borderId="10" xfId="11" applyNumberFormat="1" applyBorder="1" applyAlignment="1">
      <alignment horizontal="center"/>
    </xf>
    <xf numFmtId="0" fontId="3" fillId="0" borderId="0" xfId="11" applyFill="1" applyBorder="1"/>
    <xf numFmtId="0" fontId="6" fillId="0" borderId="0" xfId="11" applyFont="1" applyFill="1" applyBorder="1"/>
    <xf numFmtId="3" fontId="3" fillId="0" borderId="0" xfId="11" applyNumberFormat="1"/>
    <xf numFmtId="0" fontId="6" fillId="0" borderId="0" xfId="11" applyFont="1" applyFill="1" applyBorder="1" applyAlignment="1">
      <alignment horizontal="center"/>
    </xf>
    <xf numFmtId="3" fontId="3" fillId="0" borderId="0" xfId="11" applyNumberFormat="1" applyFill="1" applyBorder="1"/>
    <xf numFmtId="0" fontId="3" fillId="0" borderId="0" xfId="11" applyAlignment="1">
      <alignment horizontal="right"/>
    </xf>
    <xf numFmtId="0" fontId="3" fillId="0" borderId="0" xfId="0" applyFont="1" applyBorder="1"/>
    <xf numFmtId="166" fontId="0" fillId="0" borderId="0" xfId="0" applyNumberFormat="1" applyFill="1" applyAlignment="1">
      <alignment horizontal="center" wrapText="1"/>
    </xf>
    <xf numFmtId="167" fontId="0" fillId="0" borderId="0" xfId="0" applyNumberFormat="1" applyFill="1" applyAlignment="1">
      <alignment horizontal="center"/>
    </xf>
    <xf numFmtId="173" fontId="0" fillId="0" borderId="0" xfId="0" applyNumberFormat="1" applyAlignment="1">
      <alignment horizontal="center"/>
    </xf>
    <xf numFmtId="183" fontId="0" fillId="0" borderId="0" xfId="0" applyNumberFormat="1" applyAlignment="1">
      <alignment horizontal="center"/>
    </xf>
    <xf numFmtId="184" fontId="0" fillId="0" borderId="0" xfId="0" applyNumberFormat="1" applyAlignment="1">
      <alignment horizontal="center"/>
    </xf>
    <xf numFmtId="0" fontId="3" fillId="0" borderId="0" xfId="0" applyFont="1" applyAlignment="1">
      <alignment horizontal="right"/>
    </xf>
    <xf numFmtId="10" fontId="3" fillId="0" borderId="0" xfId="0" quotePrefix="1" applyNumberFormat="1" applyFont="1" applyAlignment="1">
      <alignment horizontal="center"/>
    </xf>
    <xf numFmtId="3" fontId="3" fillId="0" borderId="1" xfId="11" applyNumberFormat="1" applyFill="1" applyBorder="1" applyAlignment="1">
      <alignment horizontal="center"/>
    </xf>
    <xf numFmtId="9" fontId="0" fillId="0" borderId="0" xfId="10" applyFont="1" applyFill="1" applyBorder="1" applyAlignment="1"/>
    <xf numFmtId="164" fontId="0" fillId="0" borderId="0" xfId="1" applyFont="1" applyFill="1" applyBorder="1" applyAlignment="1"/>
    <xf numFmtId="164" fontId="0" fillId="0" borderId="2" xfId="1" applyFont="1" applyFill="1" applyBorder="1" applyAlignment="1"/>
    <xf numFmtId="164" fontId="0" fillId="0" borderId="0" xfId="1" applyNumberFormat="1" applyFont="1" applyFill="1" applyBorder="1" applyAlignment="1"/>
    <xf numFmtId="164" fontId="0" fillId="0" borderId="2" xfId="1" applyNumberFormat="1" applyFont="1" applyFill="1" applyBorder="1" applyAlignment="1"/>
    <xf numFmtId="185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3" fillId="0" borderId="7" xfId="11" applyFont="1" applyFill="1" applyBorder="1"/>
    <xf numFmtId="3" fontId="3" fillId="0" borderId="1" xfId="11" applyNumberFormat="1" applyFill="1" applyBorder="1"/>
    <xf numFmtId="3" fontId="5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 wrapText="1"/>
    </xf>
    <xf numFmtId="10" fontId="0" fillId="0" borderId="0" xfId="0" applyNumberForma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0" fillId="0" borderId="8" xfId="0" applyNumberFormat="1" applyBorder="1"/>
    <xf numFmtId="3" fontId="3" fillId="0" borderId="1" xfId="11" applyNumberFormat="1" applyFill="1" applyBorder="1" applyAlignment="1">
      <alignment horizontal="center"/>
    </xf>
    <xf numFmtId="10" fontId="0" fillId="0" borderId="0" xfId="0" applyNumberFormat="1"/>
    <xf numFmtId="3" fontId="3" fillId="0" borderId="8" xfId="11" applyNumberFormat="1" applyFill="1" applyBorder="1" applyAlignment="1">
      <alignment horizontal="center"/>
    </xf>
    <xf numFmtId="186" fontId="3" fillId="0" borderId="0" xfId="95" applyNumberFormat="1" applyFont="1" applyAlignment="1">
      <alignment horizontal="center"/>
    </xf>
    <xf numFmtId="186" fontId="0" fillId="0" borderId="0" xfId="0" applyNumberForma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11" applyFont="1"/>
    <xf numFmtId="0" fontId="3" fillId="0" borderId="1" xfId="11" applyFont="1" applyBorder="1"/>
    <xf numFmtId="0" fontId="3" fillId="0" borderId="1" xfId="11" applyFont="1" applyBorder="1" applyAlignment="1">
      <alignment horizontal="center" wrapText="1"/>
    </xf>
    <xf numFmtId="0" fontId="3" fillId="0" borderId="1" xfId="11" applyFont="1" applyFill="1" applyBorder="1" applyAlignment="1">
      <alignment horizontal="left" vertical="center" wrapText="1"/>
    </xf>
    <xf numFmtId="0" fontId="6" fillId="0" borderId="1" xfId="11" applyFont="1" applyFill="1" applyBorder="1" applyAlignment="1">
      <alignment horizontal="left" vertical="center" wrapText="1"/>
    </xf>
    <xf numFmtId="3" fontId="6" fillId="0" borderId="1" xfId="11" applyNumberFormat="1" applyFont="1" applyFill="1" applyBorder="1" applyAlignment="1">
      <alignment horizontal="right" vertical="center"/>
    </xf>
    <xf numFmtId="0" fontId="3" fillId="0" borderId="1" xfId="11" applyFont="1" applyFill="1" applyBorder="1"/>
    <xf numFmtId="173" fontId="6" fillId="0" borderId="1" xfId="11" applyNumberFormat="1" applyFont="1" applyFill="1" applyBorder="1" applyAlignment="1">
      <alignment horizontal="right" vertical="center"/>
    </xf>
    <xf numFmtId="187" fontId="6" fillId="0" borderId="1" xfId="11" applyNumberFormat="1" applyFont="1" applyFill="1" applyBorder="1" applyAlignment="1">
      <alignment horizontal="right" vertical="center"/>
    </xf>
    <xf numFmtId="0" fontId="6" fillId="0" borderId="1" xfId="96" applyFont="1" applyFill="1" applyBorder="1" applyAlignment="1">
      <alignment horizontal="left" vertical="center"/>
    </xf>
    <xf numFmtId="0" fontId="6" fillId="0" borderId="1" xfId="96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left" vertical="center"/>
    </xf>
    <xf numFmtId="3" fontId="3" fillId="0" borderId="0" xfId="11" applyNumberFormat="1" applyFont="1"/>
    <xf numFmtId="0" fontId="3" fillId="0" borderId="1" xfId="11" applyFont="1" applyFill="1" applyBorder="1" applyAlignment="1">
      <alignment horizontal="left" vertical="center"/>
    </xf>
    <xf numFmtId="171" fontId="3" fillId="0" borderId="1" xfId="11" applyNumberFormat="1" applyFont="1" applyFill="1" applyBorder="1" applyAlignment="1">
      <alignment horizontal="center" vertical="center"/>
    </xf>
    <xf numFmtId="37" fontId="3" fillId="0" borderId="1" xfId="11" applyNumberFormat="1" applyFont="1" applyFill="1" applyBorder="1" applyAlignment="1">
      <alignment horizontal="center" vertical="center"/>
    </xf>
    <xf numFmtId="171" fontId="3" fillId="0" borderId="1" xfId="97" applyNumberFormat="1" applyFont="1" applyFill="1" applyBorder="1" applyAlignment="1">
      <alignment horizontal="center" vertical="center"/>
    </xf>
    <xf numFmtId="188" fontId="3" fillId="0" borderId="1" xfId="11" applyNumberFormat="1" applyFont="1" applyFill="1" applyBorder="1" applyAlignment="1">
      <alignment horizontal="center" vertical="center"/>
    </xf>
    <xf numFmtId="0" fontId="3" fillId="0" borderId="0" xfId="11" applyFont="1" applyFill="1"/>
    <xf numFmtId="0" fontId="6" fillId="0" borderId="0" xfId="11" applyFont="1"/>
    <xf numFmtId="0" fontId="6" fillId="0" borderId="5" xfId="96" applyFont="1" applyFill="1" applyBorder="1" applyAlignment="1">
      <alignment horizontal="left" vertical="center"/>
    </xf>
    <xf numFmtId="3" fontId="6" fillId="0" borderId="1" xfId="96" applyNumberFormat="1" applyFont="1" applyFill="1" applyBorder="1" applyAlignment="1">
      <alignment horizontal="center" vertical="center" wrapText="1"/>
    </xf>
    <xf numFmtId="0" fontId="6" fillId="0" borderId="5" xfId="11" applyFont="1" applyBorder="1" applyAlignment="1"/>
    <xf numFmtId="0" fontId="6" fillId="0" borderId="6" xfId="11" applyFont="1" applyBorder="1" applyAlignment="1"/>
    <xf numFmtId="0" fontId="6" fillId="0" borderId="30" xfId="11" applyFont="1" applyBorder="1" applyAlignment="1"/>
    <xf numFmtId="0" fontId="3" fillId="0" borderId="5" xfId="11" applyFont="1" applyFill="1" applyBorder="1" applyAlignment="1">
      <alignment horizontal="left" vertical="center"/>
    </xf>
    <xf numFmtId="175" fontId="3" fillId="0" borderId="0" xfId="11" applyNumberFormat="1" applyFont="1"/>
    <xf numFmtId="171" fontId="3" fillId="0" borderId="0" xfId="11" applyNumberFormat="1" applyFont="1"/>
    <xf numFmtId="0" fontId="3" fillId="0" borderId="5" xfId="11" applyFont="1" applyFill="1" applyBorder="1" applyAlignment="1">
      <alignment horizontal="left" vertical="center" wrapText="1"/>
    </xf>
    <xf numFmtId="0" fontId="3" fillId="0" borderId="0" xfId="11" applyFont="1" applyFill="1" applyBorder="1" applyAlignment="1">
      <alignment horizontal="left" vertical="center" wrapText="1"/>
    </xf>
    <xf numFmtId="171" fontId="3" fillId="0" borderId="0" xfId="97" applyNumberFormat="1" applyFont="1" applyFill="1" applyBorder="1" applyAlignment="1">
      <alignment horizontal="center" vertical="center"/>
    </xf>
    <xf numFmtId="171" fontId="3" fillId="0" borderId="0" xfId="11" applyNumberFormat="1" applyFont="1" applyFill="1" applyBorder="1" applyAlignment="1">
      <alignment horizontal="center" vertical="center"/>
    </xf>
    <xf numFmtId="3" fontId="3" fillId="0" borderId="1" xfId="97" applyNumberFormat="1" applyFont="1" applyFill="1" applyBorder="1" applyAlignment="1">
      <alignment horizontal="center" vertical="center"/>
    </xf>
    <xf numFmtId="3" fontId="3" fillId="0" borderId="30" xfId="97" applyNumberFormat="1" applyFont="1" applyFill="1" applyBorder="1" applyAlignment="1">
      <alignment horizontal="center" vertical="center"/>
    </xf>
    <xf numFmtId="3" fontId="3" fillId="0" borderId="1" xfId="11" applyNumberFormat="1" applyFont="1" applyFill="1" applyBorder="1" applyAlignment="1">
      <alignment horizontal="center" vertical="center"/>
    </xf>
    <xf numFmtId="166" fontId="3" fillId="0" borderId="1" xfId="97" applyNumberFormat="1" applyFont="1" applyFill="1" applyBorder="1" applyAlignment="1">
      <alignment horizontal="center" vertical="center"/>
    </xf>
    <xf numFmtId="0" fontId="3" fillId="0" borderId="0" xfId="11" applyFont="1" applyFill="1" applyAlignment="1">
      <alignment vertical="center"/>
    </xf>
    <xf numFmtId="190" fontId="3" fillId="0" borderId="1" xfId="97" applyNumberFormat="1" applyFont="1" applyFill="1" applyBorder="1" applyAlignment="1">
      <alignment horizontal="center" vertical="center"/>
    </xf>
    <xf numFmtId="188" fontId="3" fillId="0" borderId="1" xfId="97" applyNumberFormat="1" applyFont="1" applyFill="1" applyBorder="1" applyAlignment="1">
      <alignment horizontal="center" vertical="center"/>
    </xf>
    <xf numFmtId="1" fontId="10" fillId="0" borderId="0" xfId="11" applyNumberFormat="1" applyFont="1" applyFill="1" applyBorder="1" applyAlignment="1">
      <alignment horizontal="left" vertical="center" indent="1"/>
    </xf>
    <xf numFmtId="188" fontId="10" fillId="0" borderId="0" xfId="97" applyNumberFormat="1" applyFont="1" applyFill="1" applyBorder="1" applyAlignment="1">
      <alignment horizontal="center" vertical="center"/>
    </xf>
    <xf numFmtId="168" fontId="3" fillId="0" borderId="1" xfId="11" applyNumberFormat="1" applyFont="1" applyBorder="1" applyAlignment="1">
      <alignment horizontal="center"/>
    </xf>
    <xf numFmtId="190" fontId="6" fillId="0" borderId="1" xfId="97" applyNumberFormat="1" applyFont="1" applyFill="1" applyBorder="1" applyAlignment="1">
      <alignment horizontal="center" vertical="center"/>
    </xf>
    <xf numFmtId="3" fontId="3" fillId="0" borderId="32" xfId="11" applyNumberFormat="1" applyFont="1" applyFill="1" applyBorder="1" applyAlignment="1">
      <alignment horizontal="center" vertical="center" wrapText="1"/>
    </xf>
    <xf numFmtId="0" fontId="3" fillId="0" borderId="0" xfId="11" applyFont="1" applyFill="1" applyBorder="1" applyAlignment="1">
      <alignment horizontal="left" vertical="center"/>
    </xf>
    <xf numFmtId="3" fontId="3" fillId="0" borderId="0" xfId="11" applyNumberFormat="1" applyFont="1" applyFill="1" applyBorder="1" applyAlignment="1">
      <alignment horizontal="center" vertical="center" wrapText="1"/>
    </xf>
    <xf numFmtId="0" fontId="6" fillId="0" borderId="5" xfId="96" applyFont="1" applyFill="1" applyBorder="1" applyAlignment="1">
      <alignment horizontal="center" vertical="center"/>
    </xf>
    <xf numFmtId="191" fontId="3" fillId="0" borderId="1" xfId="11" applyNumberFormat="1" applyFont="1" applyFill="1" applyBorder="1" applyAlignment="1">
      <alignment horizontal="center" vertical="center" wrapText="1"/>
    </xf>
    <xf numFmtId="0" fontId="3" fillId="0" borderId="0" xfId="11" applyFont="1" applyBorder="1"/>
    <xf numFmtId="0" fontId="3" fillId="0" borderId="5" xfId="11" applyFont="1" applyFill="1" applyBorder="1" applyAlignment="1">
      <alignment horizontal="left" vertical="center"/>
    </xf>
    <xf numFmtId="3" fontId="3" fillId="0" borderId="1" xfId="11" applyNumberFormat="1" applyFont="1" applyFill="1" applyBorder="1" applyAlignment="1">
      <alignment horizontal="center" vertical="center" wrapText="1"/>
    </xf>
    <xf numFmtId="3" fontId="6" fillId="0" borderId="0" xfId="96" applyNumberFormat="1" applyFont="1" applyFill="1" applyBorder="1" applyAlignment="1">
      <alignment horizontal="center" vertical="center" wrapText="1"/>
    </xf>
    <xf numFmtId="0" fontId="6" fillId="0" borderId="0" xfId="11" applyFont="1" applyFill="1" applyBorder="1" applyAlignment="1">
      <alignment vertical="center"/>
    </xf>
    <xf numFmtId="0" fontId="3" fillId="0" borderId="0" xfId="11" applyFont="1" applyFill="1" applyBorder="1" applyAlignment="1">
      <alignment vertical="center"/>
    </xf>
    <xf numFmtId="188" fontId="6" fillId="0" borderId="0" xfId="11" applyNumberFormat="1" applyFont="1" applyFill="1" applyBorder="1" applyAlignment="1">
      <alignment horizontal="center" vertical="center" wrapText="1"/>
    </xf>
    <xf numFmtId="192" fontId="6" fillId="0" borderId="0" xfId="11" applyNumberFormat="1" applyFont="1" applyFill="1" applyBorder="1" applyAlignment="1">
      <alignment horizontal="center" vertical="center" wrapText="1"/>
    </xf>
    <xf numFmtId="0" fontId="6" fillId="0" borderId="34" xfId="96" applyFont="1" applyFill="1" applyBorder="1" applyAlignment="1">
      <alignment horizontal="center" vertical="center" wrapText="1"/>
    </xf>
    <xf numFmtId="0" fontId="3" fillId="0" borderId="33" xfId="11" applyFont="1" applyFill="1" applyBorder="1" applyAlignment="1">
      <alignment horizontal="left" vertical="center"/>
    </xf>
    <xf numFmtId="171" fontId="3" fillId="0" borderId="32" xfId="11" applyNumberFormat="1" applyFont="1" applyFill="1" applyBorder="1" applyAlignment="1">
      <alignment horizontal="center" vertical="center" wrapText="1"/>
    </xf>
    <xf numFmtId="9" fontId="3" fillId="0" borderId="0" xfId="11" applyNumberFormat="1" applyFont="1" applyFill="1" applyBorder="1" applyAlignment="1">
      <alignment horizontal="center" vertical="center" wrapText="1"/>
    </xf>
    <xf numFmtId="0" fontId="41" fillId="0" borderId="1" xfId="98" applyFont="1" applyFill="1" applyBorder="1" applyAlignment="1">
      <alignment horizontal="center"/>
    </xf>
    <xf numFmtId="0" fontId="42" fillId="0" borderId="1" xfId="98" applyFont="1" applyFill="1" applyBorder="1" applyAlignment="1">
      <alignment horizontal="left"/>
    </xf>
    <xf numFmtId="0" fontId="42" fillId="0" borderId="5" xfId="98" applyFont="1" applyFill="1" applyBorder="1" applyAlignment="1">
      <alignment horizontal="left" wrapText="1"/>
    </xf>
    <xf numFmtId="0" fontId="41" fillId="0" borderId="1" xfId="98" applyFont="1" applyFill="1" applyBorder="1" applyAlignment="1">
      <alignment horizontal="left"/>
    </xf>
    <xf numFmtId="0" fontId="6" fillId="0" borderId="36" xfId="96" applyFont="1" applyFill="1" applyBorder="1" applyAlignment="1">
      <alignment horizontal="left" vertical="center"/>
    </xf>
    <xf numFmtId="193" fontId="3" fillId="0" borderId="1" xfId="11" applyNumberFormat="1" applyFont="1" applyFill="1" applyBorder="1" applyAlignment="1">
      <alignment horizontal="center" vertical="center" wrapText="1"/>
    </xf>
    <xf numFmtId="0" fontId="6" fillId="0" borderId="36" xfId="11" applyFont="1" applyFill="1" applyBorder="1" applyAlignment="1">
      <alignment horizontal="left" vertical="center"/>
    </xf>
    <xf numFmtId="0" fontId="6" fillId="0" borderId="37" xfId="11" applyFont="1" applyFill="1" applyBorder="1" applyAlignment="1">
      <alignment horizontal="center" vertical="center"/>
    </xf>
    <xf numFmtId="0" fontId="3" fillId="0" borderId="38" xfId="11" applyFont="1" applyFill="1" applyBorder="1" applyAlignment="1">
      <alignment vertical="center"/>
    </xf>
    <xf numFmtId="0" fontId="6" fillId="0" borderId="5" xfId="11" applyFont="1" applyFill="1" applyBorder="1" applyAlignment="1">
      <alignment horizontal="left" vertical="center"/>
    </xf>
    <xf numFmtId="0" fontId="6" fillId="0" borderId="6" xfId="11" applyFont="1" applyFill="1" applyBorder="1" applyAlignment="1">
      <alignment horizontal="left" vertical="center"/>
    </xf>
    <xf numFmtId="0" fontId="3" fillId="0" borderId="31" xfId="11" applyFont="1" applyBorder="1"/>
    <xf numFmtId="0" fontId="6" fillId="0" borderId="0" xfId="11" applyFont="1" applyFill="1" applyBorder="1" applyAlignment="1">
      <alignment horizontal="left" vertical="center"/>
    </xf>
    <xf numFmtId="3" fontId="6" fillId="0" borderId="0" xfId="11" applyNumberFormat="1" applyFont="1" applyFill="1" applyBorder="1" applyAlignment="1">
      <alignment horizontal="center" vertical="center" wrapText="1"/>
    </xf>
    <xf numFmtId="0" fontId="6" fillId="0" borderId="1" xfId="96" applyNumberFormat="1" applyFont="1" applyFill="1" applyBorder="1" applyAlignment="1">
      <alignment horizontal="center" vertical="center" wrapText="1"/>
    </xf>
    <xf numFmtId="3" fontId="3" fillId="0" borderId="1" xfId="11" applyNumberFormat="1" applyFont="1" applyFill="1" applyBorder="1" applyAlignment="1">
      <alignment vertical="center"/>
    </xf>
    <xf numFmtId="166" fontId="3" fillId="0" borderId="1" xfId="10" applyNumberFormat="1" applyFont="1" applyFill="1" applyBorder="1" applyAlignment="1">
      <alignment horizontal="center" vertical="center"/>
    </xf>
    <xf numFmtId="191" fontId="3" fillId="0" borderId="1" xfId="97" applyNumberFormat="1" applyFont="1" applyFill="1" applyBorder="1" applyAlignment="1">
      <alignment horizontal="center" vertical="center"/>
    </xf>
    <xf numFmtId="0" fontId="3" fillId="0" borderId="1" xfId="11" applyFont="1" applyBorder="1" applyAlignment="1">
      <alignment horizontal="left" wrapText="1"/>
    </xf>
    <xf numFmtId="191" fontId="6" fillId="0" borderId="1" xfId="97" applyNumberFormat="1" applyFont="1" applyFill="1" applyBorder="1" applyAlignment="1">
      <alignment horizontal="center" vertical="center"/>
    </xf>
    <xf numFmtId="0" fontId="3" fillId="0" borderId="1" xfId="11" applyFont="1" applyFill="1" applyBorder="1" applyAlignment="1">
      <alignment vertical="center"/>
    </xf>
    <xf numFmtId="0" fontId="3" fillId="0" borderId="5" xfId="11" applyFont="1" applyBorder="1" applyAlignment="1">
      <alignment horizontal="left" wrapText="1"/>
    </xf>
    <xf numFmtId="0" fontId="3" fillId="0" borderId="5" xfId="11" applyFont="1" applyBorder="1"/>
    <xf numFmtId="168" fontId="3" fillId="0" borderId="1" xfId="11" applyNumberFormat="1" applyFont="1" applyFill="1" applyBorder="1" applyAlignment="1">
      <alignment horizontal="center" vertical="center"/>
    </xf>
    <xf numFmtId="0" fontId="3" fillId="0" borderId="5" xfId="11" applyFont="1" applyFill="1" applyBorder="1" applyAlignment="1">
      <alignment horizontal="center" vertical="center"/>
    </xf>
    <xf numFmtId="3" fontId="3" fillId="0" borderId="1" xfId="11" applyNumberFormat="1" applyFont="1" applyFill="1" applyBorder="1" applyAlignment="1">
      <alignment horizontal="left" vertical="center"/>
    </xf>
    <xf numFmtId="3" fontId="3" fillId="0" borderId="5" xfId="11" applyNumberFormat="1" applyFont="1" applyBorder="1" applyAlignment="1">
      <alignment horizontal="left"/>
    </xf>
    <xf numFmtId="3" fontId="3" fillId="0" borderId="1" xfId="11" applyNumberFormat="1" applyFont="1" applyBorder="1" applyAlignment="1">
      <alignment horizontal="center"/>
    </xf>
    <xf numFmtId="0" fontId="3" fillId="0" borderId="5" xfId="11" applyFont="1" applyBorder="1" applyAlignment="1">
      <alignment horizontal="left"/>
    </xf>
    <xf numFmtId="3" fontId="3" fillId="0" borderId="0" xfId="11" applyNumberFormat="1" applyFont="1" applyAlignment="1">
      <alignment horizontal="center"/>
    </xf>
    <xf numFmtId="0" fontId="6" fillId="0" borderId="1" xfId="11" applyFont="1" applyBorder="1" applyAlignment="1">
      <alignment horizontal="left" wrapText="1"/>
    </xf>
    <xf numFmtId="3" fontId="3" fillId="0" borderId="1" xfId="11" applyNumberFormat="1" applyFont="1" applyBorder="1" applyAlignment="1">
      <alignment horizontal="center" wrapText="1"/>
    </xf>
    <xf numFmtId="3" fontId="3" fillId="0" borderId="1" xfId="11" applyNumberFormat="1" applyFont="1" applyBorder="1" applyAlignment="1">
      <alignment horizontal="left"/>
    </xf>
    <xf numFmtId="173" fontId="3" fillId="0" borderId="1" xfId="11" applyNumberFormat="1" applyFont="1" applyBorder="1" applyAlignment="1">
      <alignment horizontal="center"/>
    </xf>
    <xf numFmtId="166" fontId="3" fillId="0" borderId="1" xfId="99" applyNumberFormat="1" applyFont="1" applyBorder="1" applyAlignment="1">
      <alignment horizontal="center"/>
    </xf>
    <xf numFmtId="0" fontId="3" fillId="0" borderId="1" xfId="11" applyFont="1" applyBorder="1" applyAlignment="1">
      <alignment horizontal="left"/>
    </xf>
    <xf numFmtId="0" fontId="3" fillId="0" borderId="0" xfId="11" applyBorder="1"/>
    <xf numFmtId="0" fontId="6" fillId="0" borderId="1" xfId="11" applyFont="1" applyBorder="1" applyAlignment="1">
      <alignment horizontal="left" vertical="center"/>
    </xf>
    <xf numFmtId="168" fontId="3" fillId="0" borderId="1" xfId="11" applyNumberFormat="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 wrapText="1"/>
    </xf>
    <xf numFmtId="0" fontId="6" fillId="0" borderId="1" xfId="11" applyFont="1" applyBorder="1" applyAlignment="1">
      <alignment horizontal="left"/>
    </xf>
    <xf numFmtId="0" fontId="3" fillId="0" borderId="1" xfId="11" applyFont="1" applyFill="1" applyBorder="1" applyAlignment="1">
      <alignment horizontal="center" vertical="center"/>
    </xf>
    <xf numFmtId="3" fontId="3" fillId="0" borderId="1" xfId="99" applyNumberFormat="1" applyFont="1" applyBorder="1" applyAlignment="1">
      <alignment horizontal="center"/>
    </xf>
    <xf numFmtId="3" fontId="3" fillId="0" borderId="1" xfId="11" applyNumberFormat="1" applyFont="1" applyBorder="1"/>
    <xf numFmtId="0" fontId="0" fillId="0" borderId="1" xfId="0" applyFill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88" fontId="3" fillId="0" borderId="1" xfId="0" applyNumberFormat="1" applyFont="1" applyFill="1" applyBorder="1" applyAlignment="1">
      <alignment horizontal="center" vertical="center"/>
    </xf>
    <xf numFmtId="189" fontId="3" fillId="0" borderId="1" xfId="0" applyNumberFormat="1" applyFont="1" applyFill="1" applyBorder="1" applyAlignment="1">
      <alignment horizontal="center" vertical="center"/>
    </xf>
    <xf numFmtId="0" fontId="6" fillId="0" borderId="0" xfId="96" applyFont="1" applyFill="1" applyBorder="1" applyAlignment="1">
      <alignment horizontal="center" vertical="center" wrapText="1"/>
    </xf>
    <xf numFmtId="189" fontId="3" fillId="0" borderId="0" xfId="0" applyNumberFormat="1" applyFont="1" applyFill="1" applyBorder="1" applyAlignment="1">
      <alignment horizontal="center" vertical="center"/>
    </xf>
    <xf numFmtId="0" fontId="6" fillId="0" borderId="0" xfId="11" applyFont="1" applyBorder="1" applyAlignment="1"/>
    <xf numFmtId="3" fontId="3" fillId="0" borderId="0" xfId="97" applyNumberFormat="1" applyFont="1" applyFill="1" applyBorder="1" applyAlignment="1">
      <alignment horizontal="center" vertical="center"/>
    </xf>
    <xf numFmtId="4" fontId="3" fillId="0" borderId="1" xfId="97" applyNumberFormat="1" applyFont="1" applyFill="1" applyBorder="1" applyAlignment="1">
      <alignment horizontal="center" vertical="center"/>
    </xf>
    <xf numFmtId="171" fontId="0" fillId="0" borderId="0" xfId="0" applyNumberFormat="1"/>
    <xf numFmtId="4" fontId="3" fillId="0" borderId="1" xfId="11" applyNumberFormat="1" applyFont="1" applyFill="1" applyBorder="1" applyAlignment="1">
      <alignment horizontal="center" vertical="center"/>
    </xf>
    <xf numFmtId="37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6" fillId="0" borderId="33" xfId="96" applyFont="1" applyFill="1" applyBorder="1" applyAlignment="1">
      <alignment horizontal="left" vertical="center"/>
    </xf>
    <xf numFmtId="0" fontId="6" fillId="0" borderId="32" xfId="96" applyFont="1" applyFill="1" applyBorder="1" applyAlignment="1">
      <alignment horizontal="center" vertical="center" wrapText="1"/>
    </xf>
    <xf numFmtId="191" fontId="3" fillId="0" borderId="32" xfId="11" applyNumberFormat="1" applyFont="1" applyFill="1" applyBorder="1" applyAlignment="1">
      <alignment horizontal="center" vertical="center" wrapText="1"/>
    </xf>
    <xf numFmtId="0" fontId="3" fillId="0" borderId="33" xfId="11" applyFont="1" applyFill="1" applyBorder="1" applyAlignment="1">
      <alignment horizontal="left" vertical="center" wrapText="1"/>
    </xf>
    <xf numFmtId="0" fontId="3" fillId="0" borderId="1" xfId="11" applyFont="1" applyFill="1" applyBorder="1" applyAlignment="1">
      <alignment horizontal="left" vertical="center"/>
    </xf>
    <xf numFmtId="171" fontId="3" fillId="0" borderId="1" xfId="11" applyNumberFormat="1" applyFont="1" applyBorder="1" applyAlignment="1">
      <alignment horizontal="center"/>
    </xf>
    <xf numFmtId="9" fontId="3" fillId="0" borderId="1" xfId="11" applyNumberFormat="1" applyFont="1" applyFill="1" applyBorder="1" applyAlignment="1">
      <alignment horizontal="center" vertical="center" wrapText="1"/>
    </xf>
    <xf numFmtId="171" fontId="3" fillId="0" borderId="1" xfId="11" applyNumberFormat="1" applyFont="1" applyFill="1" applyBorder="1" applyAlignment="1">
      <alignment horizontal="center" vertical="center" wrapText="1"/>
    </xf>
    <xf numFmtId="188" fontId="3" fillId="0" borderId="1" xfId="11" applyNumberFormat="1" applyFont="1" applyFill="1" applyBorder="1" applyAlignment="1">
      <alignment horizontal="center" vertical="center" wrapText="1"/>
    </xf>
    <xf numFmtId="192" fontId="3" fillId="0" borderId="1" xfId="11" applyNumberFormat="1" applyFont="1" applyFill="1" applyBorder="1" applyAlignment="1">
      <alignment horizontal="center" vertical="center" wrapText="1"/>
    </xf>
    <xf numFmtId="3" fontId="3" fillId="0" borderId="5" xfId="97" applyNumberFormat="1" applyFont="1" applyFill="1" applyBorder="1" applyAlignment="1">
      <alignment horizontal="center" vertical="center"/>
    </xf>
    <xf numFmtId="0" fontId="6" fillId="0" borderId="1" xfId="96" applyFont="1" applyFill="1" applyBorder="1" applyAlignment="1">
      <alignment horizontal="center" vertical="center"/>
    </xf>
    <xf numFmtId="3" fontId="3" fillId="0" borderId="1" xfId="11" applyNumberFormat="1" applyFont="1" applyFill="1" applyBorder="1" applyAlignment="1">
      <alignment horizontal="left" vertical="center" wrapText="1"/>
    </xf>
    <xf numFmtId="3" fontId="3" fillId="0" borderId="0" xfId="0" applyNumberFormat="1" applyFont="1" applyFill="1" applyAlignment="1">
      <alignment horizontal="center" wrapText="1"/>
    </xf>
    <xf numFmtId="172" fontId="0" fillId="0" borderId="0" xfId="1" applyNumberFormat="1" applyFont="1" applyFill="1" applyBorder="1" applyAlignment="1"/>
    <xf numFmtId="172" fontId="0" fillId="0" borderId="2" xfId="1" applyNumberFormat="1" applyFont="1" applyFill="1" applyBorder="1" applyAlignment="1"/>
    <xf numFmtId="0" fontId="3" fillId="0" borderId="2" xfId="0" applyFont="1" applyFill="1" applyBorder="1" applyAlignment="1"/>
    <xf numFmtId="0" fontId="3" fillId="0" borderId="0" xfId="0" applyFont="1" applyFill="1" applyBorder="1" applyAlignment="1"/>
    <xf numFmtId="1" fontId="3" fillId="0" borderId="1" xfId="11" applyNumberFormat="1" applyFont="1" applyFill="1" applyBorder="1" applyAlignment="1">
      <alignment horizontal="left" vertical="center" indent="1"/>
    </xf>
    <xf numFmtId="0" fontId="0" fillId="0" borderId="1" xfId="0" applyBorder="1"/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17" fontId="0" fillId="0" borderId="1" xfId="0" applyNumberFormat="1" applyBorder="1"/>
    <xf numFmtId="3" fontId="4" fillId="0" borderId="1" xfId="0" applyNumberFormat="1" applyFont="1" applyBorder="1" applyAlignment="1">
      <alignment horizontal="center"/>
    </xf>
    <xf numFmtId="37" fontId="4" fillId="0" borderId="1" xfId="0" applyNumberFormat="1" applyFont="1" applyFill="1" applyBorder="1" applyAlignment="1">
      <alignment horizontal="center"/>
    </xf>
    <xf numFmtId="37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 wrapText="1"/>
    </xf>
    <xf numFmtId="37" fontId="6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7" fontId="0" fillId="0" borderId="1" xfId="0" applyNumberFormat="1" applyFill="1" applyBorder="1" applyAlignment="1">
      <alignment horizontal="center"/>
    </xf>
    <xf numFmtId="3" fontId="6" fillId="0" borderId="1" xfId="1" applyNumberFormat="1" applyFont="1" applyBorder="1" applyAlignment="1">
      <alignment horizontal="center" wrapText="1"/>
    </xf>
    <xf numFmtId="174" fontId="0" fillId="0" borderId="1" xfId="1" applyNumberFormat="1" applyFont="1" applyBorder="1"/>
    <xf numFmtId="174" fontId="0" fillId="0" borderId="8" xfId="1" applyNumberFormat="1" applyFont="1" applyBorder="1"/>
    <xf numFmtId="9" fontId="0" fillId="0" borderId="0" xfId="10" applyFont="1"/>
    <xf numFmtId="187" fontId="3" fillId="0" borderId="0" xfId="11" applyNumberFormat="1" applyFont="1"/>
    <xf numFmtId="171" fontId="0" fillId="0" borderId="0" xfId="0" applyNumberFormat="1" applyAlignment="1">
      <alignment horizontal="center"/>
    </xf>
    <xf numFmtId="166" fontId="3" fillId="0" borderId="0" xfId="10" applyNumberFormat="1" applyFont="1"/>
    <xf numFmtId="166" fontId="3" fillId="0" borderId="0" xfId="10" applyNumberFormat="1" applyFont="1" applyFill="1" applyBorder="1" applyAlignment="1">
      <alignment horizontal="center" vertical="center"/>
    </xf>
    <xf numFmtId="3" fontId="5" fillId="39" borderId="0" xfId="0" applyNumberFormat="1" applyFont="1" applyFill="1" applyAlignment="1">
      <alignment horizontal="center"/>
    </xf>
    <xf numFmtId="3" fontId="0" fillId="39" borderId="0" xfId="0" applyNumberFormat="1" applyFill="1" applyAlignment="1">
      <alignment horizontal="center"/>
    </xf>
    <xf numFmtId="0" fontId="0" fillId="39" borderId="0" xfId="0" applyFill="1"/>
    <xf numFmtId="3" fontId="3" fillId="39" borderId="0" xfId="0" applyNumberFormat="1" applyFont="1" applyFill="1" applyAlignment="1">
      <alignment horizontal="center"/>
    </xf>
    <xf numFmtId="167" fontId="0" fillId="39" borderId="0" xfId="0" applyNumberFormat="1" applyFill="1" applyAlignment="1">
      <alignment horizontal="center"/>
    </xf>
    <xf numFmtId="167" fontId="3" fillId="0" borderId="5" xfId="11" applyNumberFormat="1" applyFont="1" applyBorder="1" applyAlignment="1">
      <alignment horizontal="center"/>
    </xf>
    <xf numFmtId="167" fontId="3" fillId="0" borderId="30" xfId="11" applyNumberFormat="1" applyFont="1" applyBorder="1" applyAlignment="1">
      <alignment horizontal="center"/>
    </xf>
    <xf numFmtId="0" fontId="6" fillId="0" borderId="5" xfId="11" applyFont="1" applyBorder="1" applyAlignment="1">
      <alignment horizontal="left" vertical="center"/>
    </xf>
    <xf numFmtId="0" fontId="6" fillId="0" borderId="6" xfId="11" applyFont="1" applyBorder="1" applyAlignment="1">
      <alignment horizontal="left" vertical="center"/>
    </xf>
    <xf numFmtId="0" fontId="6" fillId="0" borderId="30" xfId="11" applyFont="1" applyBorder="1" applyAlignment="1">
      <alignment horizontal="left" vertical="center"/>
    </xf>
    <xf numFmtId="0" fontId="6" fillId="0" borderId="5" xfId="11" applyFont="1" applyFill="1" applyBorder="1" applyAlignment="1">
      <alignment horizontal="center" vertical="center" wrapText="1"/>
    </xf>
    <xf numFmtId="0" fontId="6" fillId="0" borderId="30" xfId="11" applyFont="1" applyFill="1" applyBorder="1" applyAlignment="1">
      <alignment horizontal="center" vertical="center" wrapText="1"/>
    </xf>
    <xf numFmtId="0" fontId="3" fillId="0" borderId="1" xfId="11" applyFont="1" applyBorder="1" applyAlignment="1">
      <alignment horizontal="center"/>
    </xf>
    <xf numFmtId="0" fontId="6" fillId="0" borderId="1" xfId="11" applyFont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center" vertical="center" wrapText="1"/>
    </xf>
    <xf numFmtId="167" fontId="3" fillId="0" borderId="1" xfId="11" applyNumberFormat="1" applyFont="1" applyBorder="1" applyAlignment="1">
      <alignment horizontal="center"/>
    </xf>
    <xf numFmtId="0" fontId="6" fillId="0" borderId="1" xfId="11" applyFont="1" applyBorder="1" applyAlignment="1">
      <alignment horizontal="left" vertical="center"/>
    </xf>
    <xf numFmtId="194" fontId="3" fillId="0" borderId="1" xfId="11" applyNumberFormat="1" applyFont="1" applyBorder="1" applyAlignment="1">
      <alignment horizontal="center"/>
    </xf>
    <xf numFmtId="0" fontId="6" fillId="0" borderId="5" xfId="11" applyFont="1" applyFill="1" applyBorder="1" applyAlignment="1">
      <alignment horizontal="left" vertical="center"/>
    </xf>
    <xf numFmtId="0" fontId="6" fillId="0" borderId="6" xfId="11" applyFont="1" applyFill="1" applyBorder="1" applyAlignment="1">
      <alignment horizontal="left" vertical="center"/>
    </xf>
    <xf numFmtId="0" fontId="6" fillId="0" borderId="30" xfId="11" applyFont="1" applyFill="1" applyBorder="1" applyAlignment="1">
      <alignment horizontal="left" vertical="center"/>
    </xf>
    <xf numFmtId="0" fontId="6" fillId="0" borderId="1" xfId="11" applyFont="1" applyFill="1" applyBorder="1" applyAlignment="1">
      <alignment horizontal="left" vertical="center"/>
    </xf>
    <xf numFmtId="0" fontId="6" fillId="0" borderId="0" xfId="11" applyFont="1" applyFill="1" applyBorder="1" applyAlignment="1">
      <alignment horizontal="left" vertical="center"/>
    </xf>
    <xf numFmtId="0" fontId="6" fillId="0" borderId="0" xfId="11" applyFont="1" applyFill="1" applyBorder="1" applyAlignment="1">
      <alignment horizontal="left" vertical="center" wrapText="1"/>
    </xf>
    <xf numFmtId="0" fontId="41" fillId="0" borderId="33" xfId="98" applyFont="1" applyFill="1" applyBorder="1" applyAlignment="1">
      <alignment horizontal="left" wrapText="1"/>
    </xf>
    <xf numFmtId="0" fontId="41" fillId="0" borderId="4" xfId="98" applyFont="1" applyFill="1" applyBorder="1" applyAlignment="1">
      <alignment horizontal="left" wrapText="1"/>
    </xf>
    <xf numFmtId="0" fontId="41" fillId="0" borderId="35" xfId="98" applyFont="1" applyFill="1" applyBorder="1" applyAlignment="1">
      <alignment horizontal="left"/>
    </xf>
    <xf numFmtId="0" fontId="41" fillId="0" borderId="0" xfId="98" applyFont="1" applyFill="1" applyBorder="1" applyAlignment="1">
      <alignment horizontal="left"/>
    </xf>
    <xf numFmtId="0" fontId="6" fillId="0" borderId="35" xfId="11" applyFont="1" applyFill="1" applyBorder="1" applyAlignment="1">
      <alignment horizontal="left" vertical="center"/>
    </xf>
    <xf numFmtId="0" fontId="6" fillId="0" borderId="33" xfId="11" applyFont="1" applyFill="1" applyBorder="1" applyAlignment="1">
      <alignment horizontal="left" vertical="center"/>
    </xf>
    <xf numFmtId="0" fontId="6" fillId="0" borderId="4" xfId="11" applyFont="1" applyFill="1" applyBorder="1" applyAlignment="1">
      <alignment horizontal="left" vertical="center"/>
    </xf>
    <xf numFmtId="0" fontId="3" fillId="0" borderId="1" xfId="11" applyFont="1" applyFill="1" applyBorder="1" applyAlignment="1">
      <alignment horizontal="left" vertical="center"/>
    </xf>
    <xf numFmtId="0" fontId="3" fillId="0" borderId="36" xfId="11" applyFont="1" applyBorder="1" applyAlignment="1">
      <alignment horizontal="center"/>
    </xf>
    <xf numFmtId="0" fontId="3" fillId="0" borderId="35" xfId="11" applyFont="1" applyBorder="1" applyAlignment="1">
      <alignment horizontal="center"/>
    </xf>
    <xf numFmtId="0" fontId="6" fillId="0" borderId="1" xfId="11" applyFont="1" applyBorder="1" applyAlignment="1">
      <alignment horizontal="left"/>
    </xf>
    <xf numFmtId="0" fontId="6" fillId="0" borderId="5" xfId="11" applyFont="1" applyFill="1" applyBorder="1" applyAlignment="1">
      <alignment horizontal="left" vertical="center" wrapText="1"/>
    </xf>
    <xf numFmtId="0" fontId="6" fillId="0" borderId="6" xfId="11" applyFont="1" applyFill="1" applyBorder="1" applyAlignment="1">
      <alignment horizontal="left" vertical="center" wrapText="1"/>
    </xf>
    <xf numFmtId="0" fontId="6" fillId="0" borderId="30" xfId="11" applyFont="1" applyFill="1" applyBorder="1" applyAlignment="1">
      <alignment horizontal="left" vertical="center" wrapText="1"/>
    </xf>
    <xf numFmtId="0" fontId="6" fillId="0" borderId="36" xfId="11" applyFont="1" applyBorder="1" applyAlignment="1">
      <alignment horizontal="left"/>
    </xf>
    <xf numFmtId="0" fontId="6" fillId="0" borderId="37" xfId="11" applyFont="1" applyBorder="1" applyAlignment="1">
      <alignment horizontal="left"/>
    </xf>
    <xf numFmtId="0" fontId="6" fillId="0" borderId="38" xfId="11" applyFont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0" borderId="7" xfId="11" applyBorder="1" applyAlignment="1">
      <alignment horizontal="center"/>
    </xf>
    <xf numFmtId="0" fontId="3" fillId="0" borderId="1" xfId="11" applyBorder="1" applyAlignment="1">
      <alignment horizontal="center"/>
    </xf>
    <xf numFmtId="0" fontId="3" fillId="0" borderId="8" xfId="11" applyBorder="1" applyAlignment="1">
      <alignment horizontal="center"/>
    </xf>
    <xf numFmtId="0" fontId="3" fillId="0" borderId="0" xfId="11" applyAlignment="1">
      <alignment horizontal="center"/>
    </xf>
    <xf numFmtId="3" fontId="3" fillId="0" borderId="1" xfId="11" applyNumberFormat="1" applyFill="1" applyBorder="1" applyAlignment="1">
      <alignment horizontal="center"/>
    </xf>
    <xf numFmtId="0" fontId="6" fillId="0" borderId="0" xfId="11" applyFont="1" applyBorder="1" applyAlignment="1">
      <alignment horizontal="center"/>
    </xf>
    <xf numFmtId="0" fontId="3" fillId="0" borderId="1" xfId="11" applyFill="1" applyBorder="1" applyAlignment="1">
      <alignment horizontal="center"/>
    </xf>
    <xf numFmtId="0" fontId="3" fillId="0" borderId="8" xfId="11" applyFill="1" applyBorder="1" applyAlignment="1">
      <alignment horizontal="center"/>
    </xf>
    <xf numFmtId="0" fontId="17" fillId="5" borderId="5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left"/>
    </xf>
    <xf numFmtId="0" fontId="17" fillId="5" borderId="12" xfId="0" applyFont="1" applyFill="1" applyBorder="1" applyAlignment="1">
      <alignment horizontal="left"/>
    </xf>
    <xf numFmtId="0" fontId="17" fillId="5" borderId="5" xfId="0" applyFont="1" applyFill="1" applyBorder="1" applyAlignment="1">
      <alignment horizontal="left" vertical="top" wrapText="1"/>
    </xf>
    <xf numFmtId="0" fontId="17" fillId="5" borderId="6" xfId="0" applyFont="1" applyFill="1" applyBorder="1" applyAlignment="1">
      <alignment horizontal="left" vertical="top" wrapText="1"/>
    </xf>
    <xf numFmtId="0" fontId="17" fillId="5" borderId="12" xfId="0" applyFont="1" applyFill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</cellXfs>
  <cellStyles count="101">
    <cellStyle name="$" xfId="12"/>
    <cellStyle name="$.00" xfId="13"/>
    <cellStyle name="$_9. Rev2Cost_GDPIPI" xfId="14"/>
    <cellStyle name="$_lists" xfId="15"/>
    <cellStyle name="$_lists_4. Current Monthly Fixed Charge" xfId="16"/>
    <cellStyle name="$_Sheet4" xfId="17"/>
    <cellStyle name="$M" xfId="18"/>
    <cellStyle name="$M.00" xfId="19"/>
    <cellStyle name="$M_9. Rev2Cost_GDPIPI" xfId="20"/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40% - Accent1 2" xfId="27"/>
    <cellStyle name="40% - Accent2 2" xfId="28"/>
    <cellStyle name="40% - Accent3 2" xfId="29"/>
    <cellStyle name="40% - Accent4 2" xfId="30"/>
    <cellStyle name="40% - Accent5 2" xfId="31"/>
    <cellStyle name="40% - Accent6 2" xfId="32"/>
    <cellStyle name="60% - Accent1 2" xfId="33"/>
    <cellStyle name="60% - Accent2 2" xfId="34"/>
    <cellStyle name="60% - Accent3 2" xfId="35"/>
    <cellStyle name="60% - Accent4 2" xfId="36"/>
    <cellStyle name="60% - Accent5 2" xfId="37"/>
    <cellStyle name="60% - Accent6 2" xfId="38"/>
    <cellStyle name="Accent1 2" xfId="39"/>
    <cellStyle name="Accent2 2" xfId="40"/>
    <cellStyle name="Accent3 2" xfId="41"/>
    <cellStyle name="Accent4 2" xfId="42"/>
    <cellStyle name="Accent5 2" xfId="43"/>
    <cellStyle name="Accent6 2" xfId="44"/>
    <cellStyle name="Bad 2" xfId="45"/>
    <cellStyle name="Calculation 2" xfId="46"/>
    <cellStyle name="Check Cell 2" xfId="47"/>
    <cellStyle name="Comma" xfId="1" builtinId="3"/>
    <cellStyle name="Comma 2" xfId="2"/>
    <cellStyle name="Comma 3" xfId="3"/>
    <cellStyle name="Comma 3 2" xfId="48"/>
    <cellStyle name="Comma 4" xfId="49"/>
    <cellStyle name="Comma 5" xfId="50"/>
    <cellStyle name="Comma 6" xfId="100"/>
    <cellStyle name="Comma_CDM monthly amounts" xfId="4"/>
    <cellStyle name="Comma_Horizon 2011 Load Forecast Model  June 25, 2010" xfId="5"/>
    <cellStyle name="Comma0" xfId="6"/>
    <cellStyle name="Currency" xfId="95" builtinId="4"/>
    <cellStyle name="Currency 2" xfId="51"/>
    <cellStyle name="Currency 3" xfId="52"/>
    <cellStyle name="Currency 4" xfId="53"/>
    <cellStyle name="Currency0" xfId="7"/>
    <cellStyle name="Date" xfId="8"/>
    <cellStyle name="Explanatory Text 2" xfId="54"/>
    <cellStyle name="Fixed" xfId="9"/>
    <cellStyle name="Good 2" xfId="55"/>
    <cellStyle name="Grey" xfId="56"/>
    <cellStyle name="Grey 2" xfId="57"/>
    <cellStyle name="Heading 1 2" xfId="58"/>
    <cellStyle name="Heading 2 2" xfId="59"/>
    <cellStyle name="Heading 3 2" xfId="60"/>
    <cellStyle name="Heading 4 2" xfId="61"/>
    <cellStyle name="Input [yellow]" xfId="62"/>
    <cellStyle name="Input [yellow] 2" xfId="63"/>
    <cellStyle name="Input 2" xfId="64"/>
    <cellStyle name="Linked Cell 2" xfId="65"/>
    <cellStyle name="M" xfId="66"/>
    <cellStyle name="M.00" xfId="67"/>
    <cellStyle name="M_9. Rev2Cost_GDPIPI" xfId="68"/>
    <cellStyle name="M_lists" xfId="69"/>
    <cellStyle name="M_lists_4. Current Monthly Fixed Charge" xfId="70"/>
    <cellStyle name="M_Sheet4" xfId="71"/>
    <cellStyle name="Neutral 2" xfId="72"/>
    <cellStyle name="Normal" xfId="0" builtinId="0"/>
    <cellStyle name="Normal - Style1" xfId="73"/>
    <cellStyle name="Normal 2" xfId="11"/>
    <cellStyle name="Normal 3" xfId="74"/>
    <cellStyle name="Normal 4" xfId="75"/>
    <cellStyle name="Normal 5" xfId="76"/>
    <cellStyle name="Normal 5 2" xfId="77"/>
    <cellStyle name="Normal 5 2 3" xfId="98"/>
    <cellStyle name="Normal 6" xfId="78"/>
    <cellStyle name="Normal 7" xfId="79"/>
    <cellStyle name="Normal_OEB Trial Balance - Regulatory-July24-07" xfId="97"/>
    <cellStyle name="Normal_Sheet2" xfId="96"/>
    <cellStyle name="Note 2" xfId="80"/>
    <cellStyle name="Output 2" xfId="81"/>
    <cellStyle name="Percent" xfId="10" builtinId="5"/>
    <cellStyle name="Percent [2]" xfId="82"/>
    <cellStyle name="Percent 2" xfId="83"/>
    <cellStyle name="Percent 3" xfId="84"/>
    <cellStyle name="Percent 3 2" xfId="85"/>
    <cellStyle name="Percent 4" xfId="86"/>
    <cellStyle name="Percent 5" xfId="99"/>
    <cellStyle name="Style 23" xfId="87"/>
    <cellStyle name="STYLE1" xfId="88"/>
    <cellStyle name="STYLE2" xfId="89"/>
    <cellStyle name="STYLE4" xfId="90"/>
    <cellStyle name="Subtotal" xfId="91"/>
    <cellStyle name="Title 2" xfId="92"/>
    <cellStyle name="Total 2" xfId="93"/>
    <cellStyle name="Warning Text 2" xfId="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gli\AppData\Local\Temp\2017%20Rate%20Design%20Model_ELK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ELK\2016%20Rates\Load%20Forecast\2006-2010%20Final%20OPA%20CDM%20Results.E.L.K.%20Energy%20Inc.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gli\AppData\Local\Temp\E.L.K.%20Energy%20CDM%20Plan%20June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Documents%20and%20Settings\dferraro\Local%20Settings\Temporary%20Internet%20Files\OLKB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g\Desktop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Rebasing\2012%20%20Rate%20Application%20Files%20with%202006%20Start\Dummy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Tennant\Return%20on%20Equity%20and%20WC\RateMak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mmaw\Local%20Settings\Temporary%20Internet%20Files\OLKBC\Exhibit%203%20Distribution%20Revenue%20Throughputs%20-%20Bl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7"/>
      <sheetName val="2016 Existing Rates"/>
      <sheetName val="2017 Test Yr On Existing Rates"/>
      <sheetName val="Cost Allocation Study"/>
      <sheetName val="Rates By Rate Class"/>
      <sheetName val="Res Rate Design"/>
      <sheetName val="Allocation Low Voltage Costs"/>
      <sheetName val="Low Voltage Rates"/>
      <sheetName val="BILL IMPACTS"/>
      <sheetName val="Distribution Rate Schedule"/>
      <sheetName val="Rate Schedule 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</sheetNames>
    <sheetDataSet>
      <sheetData sheetId="0" refreshError="1"/>
      <sheetData sheetId="1">
        <row r="11">
          <cell r="B11">
            <v>30768</v>
          </cell>
        </row>
      </sheetData>
      <sheetData sheetId="2" refreshError="1"/>
      <sheetData sheetId="3">
        <row r="6">
          <cell r="C6">
            <v>13.33</v>
          </cell>
        </row>
      </sheetData>
      <sheetData sheetId="4">
        <row r="7">
          <cell r="H7">
            <v>2232302.8497999893</v>
          </cell>
        </row>
        <row r="8">
          <cell r="H8">
            <v>382866.98655941675</v>
          </cell>
        </row>
        <row r="9">
          <cell r="H9">
            <v>506050.41056294972</v>
          </cell>
        </row>
        <row r="10">
          <cell r="H10">
            <v>115410.05641920419</v>
          </cell>
        </row>
        <row r="11">
          <cell r="H11">
            <v>113740.93752256574</v>
          </cell>
        </row>
        <row r="12">
          <cell r="H12">
            <v>2887.7015772976183</v>
          </cell>
        </row>
        <row r="13">
          <cell r="H13">
            <v>345.37720000000002</v>
          </cell>
        </row>
        <row r="18">
          <cell r="H18">
            <v>2221219.6825808138</v>
          </cell>
        </row>
        <row r="19">
          <cell r="H19">
            <v>380218.40727182978</v>
          </cell>
        </row>
        <row r="20">
          <cell r="H20">
            <v>512805.45305821195</v>
          </cell>
        </row>
        <row r="21">
          <cell r="H21">
            <v>116294.81441988278</v>
          </cell>
        </row>
        <row r="22">
          <cell r="H22">
            <v>113557.63432747728</v>
          </cell>
        </row>
        <row r="23">
          <cell r="H23">
            <v>2882.7127071939685</v>
          </cell>
        </row>
        <row r="24">
          <cell r="H24">
            <v>345.37720000000002</v>
          </cell>
        </row>
      </sheetData>
      <sheetData sheetId="5" refreshError="1"/>
      <sheetData sheetId="6">
        <row r="6">
          <cell r="I6">
            <v>2652608.397151059</v>
          </cell>
        </row>
        <row r="7">
          <cell r="I7">
            <v>564424.28282827383</v>
          </cell>
        </row>
        <row r="8">
          <cell r="I8">
            <v>602776.52863058529</v>
          </cell>
        </row>
        <row r="9">
          <cell r="I9">
            <v>58475.887445084678</v>
          </cell>
        </row>
        <row r="10">
          <cell r="I10">
            <v>98326.42658503697</v>
          </cell>
        </row>
        <row r="11">
          <cell r="I11">
            <v>4435.0145771481475</v>
          </cell>
        </row>
        <row r="12">
          <cell r="I12">
            <v>509.90936922293639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854.48156334305816</v>
          </cell>
          <cell r="F19">
            <v>854.48156334305816</v>
          </cell>
          <cell r="G19">
            <v>854.48156334305816</v>
          </cell>
          <cell r="H19">
            <v>854.48156334305816</v>
          </cell>
          <cell r="I19">
            <v>148.4045271515179</v>
          </cell>
          <cell r="J19">
            <v>148.4045271515179</v>
          </cell>
          <cell r="K19">
            <v>135.74973834308457</v>
          </cell>
          <cell r="L19">
            <v>135.74973834308457</v>
          </cell>
          <cell r="M19">
            <v>127.55779468696704</v>
          </cell>
          <cell r="N19">
            <v>127.55779468696704</v>
          </cell>
          <cell r="O19">
            <v>120.51397952721754</v>
          </cell>
        </row>
        <row r="20">
          <cell r="F20">
            <v>763.31965203135871</v>
          </cell>
          <cell r="G20">
            <v>454.26283979116175</v>
          </cell>
          <cell r="H20">
            <v>415.78723763211383</v>
          </cell>
          <cell r="I20">
            <v>415.78723763211383</v>
          </cell>
          <cell r="J20">
            <v>415.78723763211383</v>
          </cell>
          <cell r="K20">
            <v>403.30374945083082</v>
          </cell>
          <cell r="L20">
            <v>403.30374945083082</v>
          </cell>
          <cell r="M20">
            <v>403.30374945083082</v>
          </cell>
          <cell r="N20">
            <v>128.49595653318232</v>
          </cell>
          <cell r="O20">
            <v>112.9987500401316</v>
          </cell>
        </row>
        <row r="21">
          <cell r="G21">
            <v>544.49445911745295</v>
          </cell>
          <cell r="H21">
            <v>429.95369315548584</v>
          </cell>
          <cell r="I21">
            <v>429.95369315548589</v>
          </cell>
          <cell r="J21">
            <v>429.95369315548589</v>
          </cell>
          <cell r="K21">
            <v>389.00172896817253</v>
          </cell>
          <cell r="L21">
            <v>389.00172896817253</v>
          </cell>
          <cell r="M21">
            <v>346.35738679788039</v>
          </cell>
          <cell r="N21">
            <v>314.49845207680801</v>
          </cell>
          <cell r="O21">
            <v>222.96788590399768</v>
          </cell>
        </row>
        <row r="22">
          <cell r="H22">
            <v>1594.5119380523643</v>
          </cell>
          <cell r="I22">
            <v>1440.4898057035587</v>
          </cell>
          <cell r="J22">
            <v>1440.4898057035587</v>
          </cell>
          <cell r="K22">
            <v>1440.2533747333709</v>
          </cell>
          <cell r="L22">
            <v>1437.7809837577224</v>
          </cell>
          <cell r="M22">
            <v>1424.5048137400877</v>
          </cell>
          <cell r="N22">
            <v>1403.5548596331382</v>
          </cell>
          <cell r="O22">
            <v>1403.0977466693162</v>
          </cell>
        </row>
        <row r="23">
          <cell r="I23">
            <v>758.43556404633682</v>
          </cell>
          <cell r="J23">
            <v>489.55746119973929</v>
          </cell>
          <cell r="K23">
            <v>488.33061138237974</v>
          </cell>
          <cell r="L23">
            <v>488.32730833082019</v>
          </cell>
          <cell r="M23">
            <v>486.43836461561347</v>
          </cell>
          <cell r="N23">
            <v>460.3619636643154</v>
          </cell>
          <cell r="O23">
            <v>455.81938376646792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General Information"/>
      <sheetName val="B. LDC Authorization"/>
      <sheetName val="C. CDM Plan Summary"/>
      <sheetName val="D. CDM Plan Milestone LDC 1"/>
      <sheetName val="D. CDM Plan Milestone LDC 2"/>
      <sheetName val="D. CDM Plan Milestone LDC 3"/>
      <sheetName val="D. CDM Plan Milestone LDC 4"/>
      <sheetName val="D. CDM Plan Milestone LDC 5"/>
      <sheetName val="D. CDM Plan Milestone LDC 6"/>
      <sheetName val="D.CDM Plan Milestone LDC 7"/>
      <sheetName val="D. CDM Plan Milestone LDC 8"/>
      <sheetName val="D. CDM Plan Milestone LDC 9"/>
      <sheetName val="D. CDM Plan Milestone LDC 10"/>
      <sheetName val="E.  Proposed Program&amp;Pilots"/>
      <sheetName val="F. Detailed Information"/>
      <sheetName val="G. Additional Documentation"/>
      <sheetName val="Dropdown Lists"/>
      <sheetName val="Sheet1"/>
      <sheetName val="Summary of Version Changes"/>
    </sheetNames>
    <sheetDataSet>
      <sheetData sheetId="0"/>
      <sheetData sheetId="1"/>
      <sheetData sheetId="2"/>
      <sheetData sheetId="3">
        <row r="80">
          <cell r="O80">
            <v>1278.9134082499033</v>
          </cell>
          <cell r="S80">
            <v>1855.3807678423552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 refreshError="1">
        <row r="13">
          <cell r="C13">
            <v>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/>
      <sheetData sheetId="6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593"/>
  <sheetViews>
    <sheetView topLeftCell="O363" zoomScale="115" zoomScaleNormal="115" workbookViewId="0">
      <selection activeCell="I39" sqref="I39"/>
    </sheetView>
  </sheetViews>
  <sheetFormatPr defaultRowHeight="12.75" x14ac:dyDescent="0.2"/>
  <cols>
    <col min="1" max="1" width="20.28515625" style="178" customWidth="1"/>
    <col min="2" max="2" width="11" style="178" customWidth="1"/>
    <col min="3" max="4" width="11.140625" style="178" customWidth="1"/>
    <col min="5" max="5" width="12.7109375" style="178" customWidth="1"/>
    <col min="6" max="6" width="11.42578125" style="178" customWidth="1"/>
    <col min="7" max="11" width="11.28515625" style="178" customWidth="1"/>
    <col min="12" max="12" width="25.7109375" style="178" customWidth="1"/>
    <col min="13" max="13" width="13.140625" style="178" customWidth="1"/>
    <col min="14" max="14" width="11.42578125" style="178" bestFit="1" customWidth="1"/>
    <col min="15" max="15" width="40.5703125" style="178" bestFit="1" customWidth="1"/>
    <col min="16" max="16" width="11" style="178" customWidth="1"/>
    <col min="17" max="17" width="11.28515625" style="178" customWidth="1"/>
    <col min="18" max="18" width="11.7109375" style="178" customWidth="1"/>
    <col min="19" max="19" width="11.85546875" style="178" customWidth="1"/>
    <col min="20" max="20" width="12" style="178" customWidth="1"/>
    <col min="21" max="21" width="11.7109375" style="178" customWidth="1"/>
    <col min="22" max="22" width="11.5703125" style="178" customWidth="1"/>
    <col min="23" max="23" width="11.140625" style="178" customWidth="1"/>
    <col min="24" max="25" width="10.5703125" style="178" customWidth="1"/>
    <col min="26" max="26" width="9.140625" style="178"/>
    <col min="27" max="27" width="24.140625" style="178" customWidth="1"/>
    <col min="28" max="29" width="10.140625" style="178" bestFit="1" customWidth="1"/>
    <col min="30" max="30" width="9.140625" style="178"/>
    <col min="31" max="31" width="12.28515625" style="178" bestFit="1" customWidth="1"/>
    <col min="32" max="32" width="23.7109375" style="178" customWidth="1"/>
    <col min="33" max="34" width="9.140625" style="178"/>
    <col min="35" max="35" width="5.28515625" style="178" bestFit="1" customWidth="1"/>
    <col min="36" max="39" width="10.140625" style="178" bestFit="1" customWidth="1"/>
    <col min="40" max="260" width="9.140625" style="178"/>
    <col min="261" max="261" width="26.85546875" style="178" customWidth="1"/>
    <col min="262" max="262" width="0" style="178" hidden="1" customWidth="1"/>
    <col min="263" max="263" width="12.42578125" style="178" customWidth="1"/>
    <col min="264" max="265" width="11.140625" style="178" customWidth="1"/>
    <col min="266" max="266" width="12.140625" style="178" customWidth="1"/>
    <col min="267" max="267" width="14" style="178" customWidth="1"/>
    <col min="268" max="268" width="12.5703125" style="178" customWidth="1"/>
    <col min="269" max="270" width="13.140625" style="178" customWidth="1"/>
    <col min="271" max="272" width="9.140625" style="178"/>
    <col min="273" max="273" width="11" style="178" customWidth="1"/>
    <col min="274" max="516" width="9.140625" style="178"/>
    <col min="517" max="517" width="26.85546875" style="178" customWidth="1"/>
    <col min="518" max="518" width="0" style="178" hidden="1" customWidth="1"/>
    <col min="519" max="519" width="12.42578125" style="178" customWidth="1"/>
    <col min="520" max="521" width="11.140625" style="178" customWidth="1"/>
    <col min="522" max="522" width="12.140625" style="178" customWidth="1"/>
    <col min="523" max="523" width="14" style="178" customWidth="1"/>
    <col min="524" max="524" width="12.5703125" style="178" customWidth="1"/>
    <col min="525" max="526" width="13.140625" style="178" customWidth="1"/>
    <col min="527" max="528" width="9.140625" style="178"/>
    <col min="529" max="529" width="11" style="178" customWidth="1"/>
    <col min="530" max="772" width="9.140625" style="178"/>
    <col min="773" max="773" width="26.85546875" style="178" customWidth="1"/>
    <col min="774" max="774" width="0" style="178" hidden="1" customWidth="1"/>
    <col min="775" max="775" width="12.42578125" style="178" customWidth="1"/>
    <col min="776" max="777" width="11.140625" style="178" customWidth="1"/>
    <col min="778" max="778" width="12.140625" style="178" customWidth="1"/>
    <col min="779" max="779" width="14" style="178" customWidth="1"/>
    <col min="780" max="780" width="12.5703125" style="178" customWidth="1"/>
    <col min="781" max="782" width="13.140625" style="178" customWidth="1"/>
    <col min="783" max="784" width="9.140625" style="178"/>
    <col min="785" max="785" width="11" style="178" customWidth="1"/>
    <col min="786" max="1028" width="9.140625" style="178"/>
    <col min="1029" max="1029" width="26.85546875" style="178" customWidth="1"/>
    <col min="1030" max="1030" width="0" style="178" hidden="1" customWidth="1"/>
    <col min="1031" max="1031" width="12.42578125" style="178" customWidth="1"/>
    <col min="1032" max="1033" width="11.140625" style="178" customWidth="1"/>
    <col min="1034" max="1034" width="12.140625" style="178" customWidth="1"/>
    <col min="1035" max="1035" width="14" style="178" customWidth="1"/>
    <col min="1036" max="1036" width="12.5703125" style="178" customWidth="1"/>
    <col min="1037" max="1038" width="13.140625" style="178" customWidth="1"/>
    <col min="1039" max="1040" width="9.140625" style="178"/>
    <col min="1041" max="1041" width="11" style="178" customWidth="1"/>
    <col min="1042" max="1284" width="9.140625" style="178"/>
    <col min="1285" max="1285" width="26.85546875" style="178" customWidth="1"/>
    <col min="1286" max="1286" width="0" style="178" hidden="1" customWidth="1"/>
    <col min="1287" max="1287" width="12.42578125" style="178" customWidth="1"/>
    <col min="1288" max="1289" width="11.140625" style="178" customWidth="1"/>
    <col min="1290" max="1290" width="12.140625" style="178" customWidth="1"/>
    <col min="1291" max="1291" width="14" style="178" customWidth="1"/>
    <col min="1292" max="1292" width="12.5703125" style="178" customWidth="1"/>
    <col min="1293" max="1294" width="13.140625" style="178" customWidth="1"/>
    <col min="1295" max="1296" width="9.140625" style="178"/>
    <col min="1297" max="1297" width="11" style="178" customWidth="1"/>
    <col min="1298" max="1540" width="9.140625" style="178"/>
    <col min="1541" max="1541" width="26.85546875" style="178" customWidth="1"/>
    <col min="1542" max="1542" width="0" style="178" hidden="1" customWidth="1"/>
    <col min="1543" max="1543" width="12.42578125" style="178" customWidth="1"/>
    <col min="1544" max="1545" width="11.140625" style="178" customWidth="1"/>
    <col min="1546" max="1546" width="12.140625" style="178" customWidth="1"/>
    <col min="1547" max="1547" width="14" style="178" customWidth="1"/>
    <col min="1548" max="1548" width="12.5703125" style="178" customWidth="1"/>
    <col min="1549" max="1550" width="13.140625" style="178" customWidth="1"/>
    <col min="1551" max="1552" width="9.140625" style="178"/>
    <col min="1553" max="1553" width="11" style="178" customWidth="1"/>
    <col min="1554" max="1796" width="9.140625" style="178"/>
    <col min="1797" max="1797" width="26.85546875" style="178" customWidth="1"/>
    <col min="1798" max="1798" width="0" style="178" hidden="1" customWidth="1"/>
    <col min="1799" max="1799" width="12.42578125" style="178" customWidth="1"/>
    <col min="1800" max="1801" width="11.140625" style="178" customWidth="1"/>
    <col min="1802" max="1802" width="12.140625" style="178" customWidth="1"/>
    <col min="1803" max="1803" width="14" style="178" customWidth="1"/>
    <col min="1804" max="1804" width="12.5703125" style="178" customWidth="1"/>
    <col min="1805" max="1806" width="13.140625" style="178" customWidth="1"/>
    <col min="1807" max="1808" width="9.140625" style="178"/>
    <col min="1809" max="1809" width="11" style="178" customWidth="1"/>
    <col min="1810" max="2052" width="9.140625" style="178"/>
    <col min="2053" max="2053" width="26.85546875" style="178" customWidth="1"/>
    <col min="2054" max="2054" width="0" style="178" hidden="1" customWidth="1"/>
    <col min="2055" max="2055" width="12.42578125" style="178" customWidth="1"/>
    <col min="2056" max="2057" width="11.140625" style="178" customWidth="1"/>
    <col min="2058" max="2058" width="12.140625" style="178" customWidth="1"/>
    <col min="2059" max="2059" width="14" style="178" customWidth="1"/>
    <col min="2060" max="2060" width="12.5703125" style="178" customWidth="1"/>
    <col min="2061" max="2062" width="13.140625" style="178" customWidth="1"/>
    <col min="2063" max="2064" width="9.140625" style="178"/>
    <col min="2065" max="2065" width="11" style="178" customWidth="1"/>
    <col min="2066" max="2308" width="9.140625" style="178"/>
    <col min="2309" max="2309" width="26.85546875" style="178" customWidth="1"/>
    <col min="2310" max="2310" width="0" style="178" hidden="1" customWidth="1"/>
    <col min="2311" max="2311" width="12.42578125" style="178" customWidth="1"/>
    <col min="2312" max="2313" width="11.140625" style="178" customWidth="1"/>
    <col min="2314" max="2314" width="12.140625" style="178" customWidth="1"/>
    <col min="2315" max="2315" width="14" style="178" customWidth="1"/>
    <col min="2316" max="2316" width="12.5703125" style="178" customWidth="1"/>
    <col min="2317" max="2318" width="13.140625" style="178" customWidth="1"/>
    <col min="2319" max="2320" width="9.140625" style="178"/>
    <col min="2321" max="2321" width="11" style="178" customWidth="1"/>
    <col min="2322" max="2564" width="9.140625" style="178"/>
    <col min="2565" max="2565" width="26.85546875" style="178" customWidth="1"/>
    <col min="2566" max="2566" width="0" style="178" hidden="1" customWidth="1"/>
    <col min="2567" max="2567" width="12.42578125" style="178" customWidth="1"/>
    <col min="2568" max="2569" width="11.140625" style="178" customWidth="1"/>
    <col min="2570" max="2570" width="12.140625" style="178" customWidth="1"/>
    <col min="2571" max="2571" width="14" style="178" customWidth="1"/>
    <col min="2572" max="2572" width="12.5703125" style="178" customWidth="1"/>
    <col min="2573" max="2574" width="13.140625" style="178" customWidth="1"/>
    <col min="2575" max="2576" width="9.140625" style="178"/>
    <col min="2577" max="2577" width="11" style="178" customWidth="1"/>
    <col min="2578" max="2820" width="9.140625" style="178"/>
    <col min="2821" max="2821" width="26.85546875" style="178" customWidth="1"/>
    <col min="2822" max="2822" width="0" style="178" hidden="1" customWidth="1"/>
    <col min="2823" max="2823" width="12.42578125" style="178" customWidth="1"/>
    <col min="2824" max="2825" width="11.140625" style="178" customWidth="1"/>
    <col min="2826" max="2826" width="12.140625" style="178" customWidth="1"/>
    <col min="2827" max="2827" width="14" style="178" customWidth="1"/>
    <col min="2828" max="2828" width="12.5703125" style="178" customWidth="1"/>
    <col min="2829" max="2830" width="13.140625" style="178" customWidth="1"/>
    <col min="2831" max="2832" width="9.140625" style="178"/>
    <col min="2833" max="2833" width="11" style="178" customWidth="1"/>
    <col min="2834" max="3076" width="9.140625" style="178"/>
    <col min="3077" max="3077" width="26.85546875" style="178" customWidth="1"/>
    <col min="3078" max="3078" width="0" style="178" hidden="1" customWidth="1"/>
    <col min="3079" max="3079" width="12.42578125" style="178" customWidth="1"/>
    <col min="3080" max="3081" width="11.140625" style="178" customWidth="1"/>
    <col min="3082" max="3082" width="12.140625" style="178" customWidth="1"/>
    <col min="3083" max="3083" width="14" style="178" customWidth="1"/>
    <col min="3084" max="3084" width="12.5703125" style="178" customWidth="1"/>
    <col min="3085" max="3086" width="13.140625" style="178" customWidth="1"/>
    <col min="3087" max="3088" width="9.140625" style="178"/>
    <col min="3089" max="3089" width="11" style="178" customWidth="1"/>
    <col min="3090" max="3332" width="9.140625" style="178"/>
    <col min="3333" max="3333" width="26.85546875" style="178" customWidth="1"/>
    <col min="3334" max="3334" width="0" style="178" hidden="1" customWidth="1"/>
    <col min="3335" max="3335" width="12.42578125" style="178" customWidth="1"/>
    <col min="3336" max="3337" width="11.140625" style="178" customWidth="1"/>
    <col min="3338" max="3338" width="12.140625" style="178" customWidth="1"/>
    <col min="3339" max="3339" width="14" style="178" customWidth="1"/>
    <col min="3340" max="3340" width="12.5703125" style="178" customWidth="1"/>
    <col min="3341" max="3342" width="13.140625" style="178" customWidth="1"/>
    <col min="3343" max="3344" width="9.140625" style="178"/>
    <col min="3345" max="3345" width="11" style="178" customWidth="1"/>
    <col min="3346" max="3588" width="9.140625" style="178"/>
    <col min="3589" max="3589" width="26.85546875" style="178" customWidth="1"/>
    <col min="3590" max="3590" width="0" style="178" hidden="1" customWidth="1"/>
    <col min="3591" max="3591" width="12.42578125" style="178" customWidth="1"/>
    <col min="3592" max="3593" width="11.140625" style="178" customWidth="1"/>
    <col min="3594" max="3594" width="12.140625" style="178" customWidth="1"/>
    <col min="3595" max="3595" width="14" style="178" customWidth="1"/>
    <col min="3596" max="3596" width="12.5703125" style="178" customWidth="1"/>
    <col min="3597" max="3598" width="13.140625" style="178" customWidth="1"/>
    <col min="3599" max="3600" width="9.140625" style="178"/>
    <col min="3601" max="3601" width="11" style="178" customWidth="1"/>
    <col min="3602" max="3844" width="9.140625" style="178"/>
    <col min="3845" max="3845" width="26.85546875" style="178" customWidth="1"/>
    <col min="3846" max="3846" width="0" style="178" hidden="1" customWidth="1"/>
    <col min="3847" max="3847" width="12.42578125" style="178" customWidth="1"/>
    <col min="3848" max="3849" width="11.140625" style="178" customWidth="1"/>
    <col min="3850" max="3850" width="12.140625" style="178" customWidth="1"/>
    <col min="3851" max="3851" width="14" style="178" customWidth="1"/>
    <col min="3852" max="3852" width="12.5703125" style="178" customWidth="1"/>
    <col min="3853" max="3854" width="13.140625" style="178" customWidth="1"/>
    <col min="3855" max="3856" width="9.140625" style="178"/>
    <col min="3857" max="3857" width="11" style="178" customWidth="1"/>
    <col min="3858" max="4100" width="9.140625" style="178"/>
    <col min="4101" max="4101" width="26.85546875" style="178" customWidth="1"/>
    <col min="4102" max="4102" width="0" style="178" hidden="1" customWidth="1"/>
    <col min="4103" max="4103" width="12.42578125" style="178" customWidth="1"/>
    <col min="4104" max="4105" width="11.140625" style="178" customWidth="1"/>
    <col min="4106" max="4106" width="12.140625" style="178" customWidth="1"/>
    <col min="4107" max="4107" width="14" style="178" customWidth="1"/>
    <col min="4108" max="4108" width="12.5703125" style="178" customWidth="1"/>
    <col min="4109" max="4110" width="13.140625" style="178" customWidth="1"/>
    <col min="4111" max="4112" width="9.140625" style="178"/>
    <col min="4113" max="4113" width="11" style="178" customWidth="1"/>
    <col min="4114" max="4356" width="9.140625" style="178"/>
    <col min="4357" max="4357" width="26.85546875" style="178" customWidth="1"/>
    <col min="4358" max="4358" width="0" style="178" hidden="1" customWidth="1"/>
    <col min="4359" max="4359" width="12.42578125" style="178" customWidth="1"/>
    <col min="4360" max="4361" width="11.140625" style="178" customWidth="1"/>
    <col min="4362" max="4362" width="12.140625" style="178" customWidth="1"/>
    <col min="4363" max="4363" width="14" style="178" customWidth="1"/>
    <col min="4364" max="4364" width="12.5703125" style="178" customWidth="1"/>
    <col min="4365" max="4366" width="13.140625" style="178" customWidth="1"/>
    <col min="4367" max="4368" width="9.140625" style="178"/>
    <col min="4369" max="4369" width="11" style="178" customWidth="1"/>
    <col min="4370" max="4612" width="9.140625" style="178"/>
    <col min="4613" max="4613" width="26.85546875" style="178" customWidth="1"/>
    <col min="4614" max="4614" width="0" style="178" hidden="1" customWidth="1"/>
    <col min="4615" max="4615" width="12.42578125" style="178" customWidth="1"/>
    <col min="4616" max="4617" width="11.140625" style="178" customWidth="1"/>
    <col min="4618" max="4618" width="12.140625" style="178" customWidth="1"/>
    <col min="4619" max="4619" width="14" style="178" customWidth="1"/>
    <col min="4620" max="4620" width="12.5703125" style="178" customWidth="1"/>
    <col min="4621" max="4622" width="13.140625" style="178" customWidth="1"/>
    <col min="4623" max="4624" width="9.140625" style="178"/>
    <col min="4625" max="4625" width="11" style="178" customWidth="1"/>
    <col min="4626" max="4868" width="9.140625" style="178"/>
    <col min="4869" max="4869" width="26.85546875" style="178" customWidth="1"/>
    <col min="4870" max="4870" width="0" style="178" hidden="1" customWidth="1"/>
    <col min="4871" max="4871" width="12.42578125" style="178" customWidth="1"/>
    <col min="4872" max="4873" width="11.140625" style="178" customWidth="1"/>
    <col min="4874" max="4874" width="12.140625" style="178" customWidth="1"/>
    <col min="4875" max="4875" width="14" style="178" customWidth="1"/>
    <col min="4876" max="4876" width="12.5703125" style="178" customWidth="1"/>
    <col min="4877" max="4878" width="13.140625" style="178" customWidth="1"/>
    <col min="4879" max="4880" width="9.140625" style="178"/>
    <col min="4881" max="4881" width="11" style="178" customWidth="1"/>
    <col min="4882" max="5124" width="9.140625" style="178"/>
    <col min="5125" max="5125" width="26.85546875" style="178" customWidth="1"/>
    <col min="5126" max="5126" width="0" style="178" hidden="1" customWidth="1"/>
    <col min="5127" max="5127" width="12.42578125" style="178" customWidth="1"/>
    <col min="5128" max="5129" width="11.140625" style="178" customWidth="1"/>
    <col min="5130" max="5130" width="12.140625" style="178" customWidth="1"/>
    <col min="5131" max="5131" width="14" style="178" customWidth="1"/>
    <col min="5132" max="5132" width="12.5703125" style="178" customWidth="1"/>
    <col min="5133" max="5134" width="13.140625" style="178" customWidth="1"/>
    <col min="5135" max="5136" width="9.140625" style="178"/>
    <col min="5137" max="5137" width="11" style="178" customWidth="1"/>
    <col min="5138" max="5380" width="9.140625" style="178"/>
    <col min="5381" max="5381" width="26.85546875" style="178" customWidth="1"/>
    <col min="5382" max="5382" width="0" style="178" hidden="1" customWidth="1"/>
    <col min="5383" max="5383" width="12.42578125" style="178" customWidth="1"/>
    <col min="5384" max="5385" width="11.140625" style="178" customWidth="1"/>
    <col min="5386" max="5386" width="12.140625" style="178" customWidth="1"/>
    <col min="5387" max="5387" width="14" style="178" customWidth="1"/>
    <col min="5388" max="5388" width="12.5703125" style="178" customWidth="1"/>
    <col min="5389" max="5390" width="13.140625" style="178" customWidth="1"/>
    <col min="5391" max="5392" width="9.140625" style="178"/>
    <col min="5393" max="5393" width="11" style="178" customWidth="1"/>
    <col min="5394" max="5636" width="9.140625" style="178"/>
    <col min="5637" max="5637" width="26.85546875" style="178" customWidth="1"/>
    <col min="5638" max="5638" width="0" style="178" hidden="1" customWidth="1"/>
    <col min="5639" max="5639" width="12.42578125" style="178" customWidth="1"/>
    <col min="5640" max="5641" width="11.140625" style="178" customWidth="1"/>
    <col min="5642" max="5642" width="12.140625" style="178" customWidth="1"/>
    <col min="5643" max="5643" width="14" style="178" customWidth="1"/>
    <col min="5644" max="5644" width="12.5703125" style="178" customWidth="1"/>
    <col min="5645" max="5646" width="13.140625" style="178" customWidth="1"/>
    <col min="5647" max="5648" width="9.140625" style="178"/>
    <col min="5649" max="5649" width="11" style="178" customWidth="1"/>
    <col min="5650" max="5892" width="9.140625" style="178"/>
    <col min="5893" max="5893" width="26.85546875" style="178" customWidth="1"/>
    <col min="5894" max="5894" width="0" style="178" hidden="1" customWidth="1"/>
    <col min="5895" max="5895" width="12.42578125" style="178" customWidth="1"/>
    <col min="5896" max="5897" width="11.140625" style="178" customWidth="1"/>
    <col min="5898" max="5898" width="12.140625" style="178" customWidth="1"/>
    <col min="5899" max="5899" width="14" style="178" customWidth="1"/>
    <col min="5900" max="5900" width="12.5703125" style="178" customWidth="1"/>
    <col min="5901" max="5902" width="13.140625" style="178" customWidth="1"/>
    <col min="5903" max="5904" width="9.140625" style="178"/>
    <col min="5905" max="5905" width="11" style="178" customWidth="1"/>
    <col min="5906" max="6148" width="9.140625" style="178"/>
    <col min="6149" max="6149" width="26.85546875" style="178" customWidth="1"/>
    <col min="6150" max="6150" width="0" style="178" hidden="1" customWidth="1"/>
    <col min="6151" max="6151" width="12.42578125" style="178" customWidth="1"/>
    <col min="6152" max="6153" width="11.140625" style="178" customWidth="1"/>
    <col min="6154" max="6154" width="12.140625" style="178" customWidth="1"/>
    <col min="6155" max="6155" width="14" style="178" customWidth="1"/>
    <col min="6156" max="6156" width="12.5703125" style="178" customWidth="1"/>
    <col min="6157" max="6158" width="13.140625" style="178" customWidth="1"/>
    <col min="6159" max="6160" width="9.140625" style="178"/>
    <col min="6161" max="6161" width="11" style="178" customWidth="1"/>
    <col min="6162" max="6404" width="9.140625" style="178"/>
    <col min="6405" max="6405" width="26.85546875" style="178" customWidth="1"/>
    <col min="6406" max="6406" width="0" style="178" hidden="1" customWidth="1"/>
    <col min="6407" max="6407" width="12.42578125" style="178" customWidth="1"/>
    <col min="6408" max="6409" width="11.140625" style="178" customWidth="1"/>
    <col min="6410" max="6410" width="12.140625" style="178" customWidth="1"/>
    <col min="6411" max="6411" width="14" style="178" customWidth="1"/>
    <col min="6412" max="6412" width="12.5703125" style="178" customWidth="1"/>
    <col min="6413" max="6414" width="13.140625" style="178" customWidth="1"/>
    <col min="6415" max="6416" width="9.140625" style="178"/>
    <col min="6417" max="6417" width="11" style="178" customWidth="1"/>
    <col min="6418" max="6660" width="9.140625" style="178"/>
    <col min="6661" max="6661" width="26.85546875" style="178" customWidth="1"/>
    <col min="6662" max="6662" width="0" style="178" hidden="1" customWidth="1"/>
    <col min="6663" max="6663" width="12.42578125" style="178" customWidth="1"/>
    <col min="6664" max="6665" width="11.140625" style="178" customWidth="1"/>
    <col min="6666" max="6666" width="12.140625" style="178" customWidth="1"/>
    <col min="6667" max="6667" width="14" style="178" customWidth="1"/>
    <col min="6668" max="6668" width="12.5703125" style="178" customWidth="1"/>
    <col min="6669" max="6670" width="13.140625" style="178" customWidth="1"/>
    <col min="6671" max="6672" width="9.140625" style="178"/>
    <col min="6673" max="6673" width="11" style="178" customWidth="1"/>
    <col min="6674" max="6916" width="9.140625" style="178"/>
    <col min="6917" max="6917" width="26.85546875" style="178" customWidth="1"/>
    <col min="6918" max="6918" width="0" style="178" hidden="1" customWidth="1"/>
    <col min="6919" max="6919" width="12.42578125" style="178" customWidth="1"/>
    <col min="6920" max="6921" width="11.140625" style="178" customWidth="1"/>
    <col min="6922" max="6922" width="12.140625" style="178" customWidth="1"/>
    <col min="6923" max="6923" width="14" style="178" customWidth="1"/>
    <col min="6924" max="6924" width="12.5703125" style="178" customWidth="1"/>
    <col min="6925" max="6926" width="13.140625" style="178" customWidth="1"/>
    <col min="6927" max="6928" width="9.140625" style="178"/>
    <col min="6929" max="6929" width="11" style="178" customWidth="1"/>
    <col min="6930" max="7172" width="9.140625" style="178"/>
    <col min="7173" max="7173" width="26.85546875" style="178" customWidth="1"/>
    <col min="7174" max="7174" width="0" style="178" hidden="1" customWidth="1"/>
    <col min="7175" max="7175" width="12.42578125" style="178" customWidth="1"/>
    <col min="7176" max="7177" width="11.140625" style="178" customWidth="1"/>
    <col min="7178" max="7178" width="12.140625" style="178" customWidth="1"/>
    <col min="7179" max="7179" width="14" style="178" customWidth="1"/>
    <col min="7180" max="7180" width="12.5703125" style="178" customWidth="1"/>
    <col min="7181" max="7182" width="13.140625" style="178" customWidth="1"/>
    <col min="7183" max="7184" width="9.140625" style="178"/>
    <col min="7185" max="7185" width="11" style="178" customWidth="1"/>
    <col min="7186" max="7428" width="9.140625" style="178"/>
    <col min="7429" max="7429" width="26.85546875" style="178" customWidth="1"/>
    <col min="7430" max="7430" width="0" style="178" hidden="1" customWidth="1"/>
    <col min="7431" max="7431" width="12.42578125" style="178" customWidth="1"/>
    <col min="7432" max="7433" width="11.140625" style="178" customWidth="1"/>
    <col min="7434" max="7434" width="12.140625" style="178" customWidth="1"/>
    <col min="7435" max="7435" width="14" style="178" customWidth="1"/>
    <col min="7436" max="7436" width="12.5703125" style="178" customWidth="1"/>
    <col min="7437" max="7438" width="13.140625" style="178" customWidth="1"/>
    <col min="7439" max="7440" width="9.140625" style="178"/>
    <col min="7441" max="7441" width="11" style="178" customWidth="1"/>
    <col min="7442" max="7684" width="9.140625" style="178"/>
    <col min="7685" max="7685" width="26.85546875" style="178" customWidth="1"/>
    <col min="7686" max="7686" width="0" style="178" hidden="1" customWidth="1"/>
    <col min="7687" max="7687" width="12.42578125" style="178" customWidth="1"/>
    <col min="7688" max="7689" width="11.140625" style="178" customWidth="1"/>
    <col min="7690" max="7690" width="12.140625" style="178" customWidth="1"/>
    <col min="7691" max="7691" width="14" style="178" customWidth="1"/>
    <col min="7692" max="7692" width="12.5703125" style="178" customWidth="1"/>
    <col min="7693" max="7694" width="13.140625" style="178" customWidth="1"/>
    <col min="7695" max="7696" width="9.140625" style="178"/>
    <col min="7697" max="7697" width="11" style="178" customWidth="1"/>
    <col min="7698" max="7940" width="9.140625" style="178"/>
    <col min="7941" max="7941" width="26.85546875" style="178" customWidth="1"/>
    <col min="7942" max="7942" width="0" style="178" hidden="1" customWidth="1"/>
    <col min="7943" max="7943" width="12.42578125" style="178" customWidth="1"/>
    <col min="7944" max="7945" width="11.140625" style="178" customWidth="1"/>
    <col min="7946" max="7946" width="12.140625" style="178" customWidth="1"/>
    <col min="7947" max="7947" width="14" style="178" customWidth="1"/>
    <col min="7948" max="7948" width="12.5703125" style="178" customWidth="1"/>
    <col min="7949" max="7950" width="13.140625" style="178" customWidth="1"/>
    <col min="7951" max="7952" width="9.140625" style="178"/>
    <col min="7953" max="7953" width="11" style="178" customWidth="1"/>
    <col min="7954" max="8196" width="9.140625" style="178"/>
    <col min="8197" max="8197" width="26.85546875" style="178" customWidth="1"/>
    <col min="8198" max="8198" width="0" style="178" hidden="1" customWidth="1"/>
    <col min="8199" max="8199" width="12.42578125" style="178" customWidth="1"/>
    <col min="8200" max="8201" width="11.140625" style="178" customWidth="1"/>
    <col min="8202" max="8202" width="12.140625" style="178" customWidth="1"/>
    <col min="8203" max="8203" width="14" style="178" customWidth="1"/>
    <col min="8204" max="8204" width="12.5703125" style="178" customWidth="1"/>
    <col min="8205" max="8206" width="13.140625" style="178" customWidth="1"/>
    <col min="8207" max="8208" width="9.140625" style="178"/>
    <col min="8209" max="8209" width="11" style="178" customWidth="1"/>
    <col min="8210" max="8452" width="9.140625" style="178"/>
    <col min="8453" max="8453" width="26.85546875" style="178" customWidth="1"/>
    <col min="8454" max="8454" width="0" style="178" hidden="1" customWidth="1"/>
    <col min="8455" max="8455" width="12.42578125" style="178" customWidth="1"/>
    <col min="8456" max="8457" width="11.140625" style="178" customWidth="1"/>
    <col min="8458" max="8458" width="12.140625" style="178" customWidth="1"/>
    <col min="8459" max="8459" width="14" style="178" customWidth="1"/>
    <col min="8460" max="8460" width="12.5703125" style="178" customWidth="1"/>
    <col min="8461" max="8462" width="13.140625" style="178" customWidth="1"/>
    <col min="8463" max="8464" width="9.140625" style="178"/>
    <col min="8465" max="8465" width="11" style="178" customWidth="1"/>
    <col min="8466" max="8708" width="9.140625" style="178"/>
    <col min="8709" max="8709" width="26.85546875" style="178" customWidth="1"/>
    <col min="8710" max="8710" width="0" style="178" hidden="1" customWidth="1"/>
    <col min="8711" max="8711" width="12.42578125" style="178" customWidth="1"/>
    <col min="8712" max="8713" width="11.140625" style="178" customWidth="1"/>
    <col min="8714" max="8714" width="12.140625" style="178" customWidth="1"/>
    <col min="8715" max="8715" width="14" style="178" customWidth="1"/>
    <col min="8716" max="8716" width="12.5703125" style="178" customWidth="1"/>
    <col min="8717" max="8718" width="13.140625" style="178" customWidth="1"/>
    <col min="8719" max="8720" width="9.140625" style="178"/>
    <col min="8721" max="8721" width="11" style="178" customWidth="1"/>
    <col min="8722" max="8964" width="9.140625" style="178"/>
    <col min="8965" max="8965" width="26.85546875" style="178" customWidth="1"/>
    <col min="8966" max="8966" width="0" style="178" hidden="1" customWidth="1"/>
    <col min="8967" max="8967" width="12.42578125" style="178" customWidth="1"/>
    <col min="8968" max="8969" width="11.140625" style="178" customWidth="1"/>
    <col min="8970" max="8970" width="12.140625" style="178" customWidth="1"/>
    <col min="8971" max="8971" width="14" style="178" customWidth="1"/>
    <col min="8972" max="8972" width="12.5703125" style="178" customWidth="1"/>
    <col min="8973" max="8974" width="13.140625" style="178" customWidth="1"/>
    <col min="8975" max="8976" width="9.140625" style="178"/>
    <col min="8977" max="8977" width="11" style="178" customWidth="1"/>
    <col min="8978" max="9220" width="9.140625" style="178"/>
    <col min="9221" max="9221" width="26.85546875" style="178" customWidth="1"/>
    <col min="9222" max="9222" width="0" style="178" hidden="1" customWidth="1"/>
    <col min="9223" max="9223" width="12.42578125" style="178" customWidth="1"/>
    <col min="9224" max="9225" width="11.140625" style="178" customWidth="1"/>
    <col min="9226" max="9226" width="12.140625" style="178" customWidth="1"/>
    <col min="9227" max="9227" width="14" style="178" customWidth="1"/>
    <col min="9228" max="9228" width="12.5703125" style="178" customWidth="1"/>
    <col min="9229" max="9230" width="13.140625" style="178" customWidth="1"/>
    <col min="9231" max="9232" width="9.140625" style="178"/>
    <col min="9233" max="9233" width="11" style="178" customWidth="1"/>
    <col min="9234" max="9476" width="9.140625" style="178"/>
    <col min="9477" max="9477" width="26.85546875" style="178" customWidth="1"/>
    <col min="9478" max="9478" width="0" style="178" hidden="1" customWidth="1"/>
    <col min="9479" max="9479" width="12.42578125" style="178" customWidth="1"/>
    <col min="9480" max="9481" width="11.140625" style="178" customWidth="1"/>
    <col min="9482" max="9482" width="12.140625" style="178" customWidth="1"/>
    <col min="9483" max="9483" width="14" style="178" customWidth="1"/>
    <col min="9484" max="9484" width="12.5703125" style="178" customWidth="1"/>
    <col min="9485" max="9486" width="13.140625" style="178" customWidth="1"/>
    <col min="9487" max="9488" width="9.140625" style="178"/>
    <col min="9489" max="9489" width="11" style="178" customWidth="1"/>
    <col min="9490" max="9732" width="9.140625" style="178"/>
    <col min="9733" max="9733" width="26.85546875" style="178" customWidth="1"/>
    <col min="9734" max="9734" width="0" style="178" hidden="1" customWidth="1"/>
    <col min="9735" max="9735" width="12.42578125" style="178" customWidth="1"/>
    <col min="9736" max="9737" width="11.140625" style="178" customWidth="1"/>
    <col min="9738" max="9738" width="12.140625" style="178" customWidth="1"/>
    <col min="9739" max="9739" width="14" style="178" customWidth="1"/>
    <col min="9740" max="9740" width="12.5703125" style="178" customWidth="1"/>
    <col min="9741" max="9742" width="13.140625" style="178" customWidth="1"/>
    <col min="9743" max="9744" width="9.140625" style="178"/>
    <col min="9745" max="9745" width="11" style="178" customWidth="1"/>
    <col min="9746" max="9988" width="9.140625" style="178"/>
    <col min="9989" max="9989" width="26.85546875" style="178" customWidth="1"/>
    <col min="9990" max="9990" width="0" style="178" hidden="1" customWidth="1"/>
    <col min="9991" max="9991" width="12.42578125" style="178" customWidth="1"/>
    <col min="9992" max="9993" width="11.140625" style="178" customWidth="1"/>
    <col min="9994" max="9994" width="12.140625" style="178" customWidth="1"/>
    <col min="9995" max="9995" width="14" style="178" customWidth="1"/>
    <col min="9996" max="9996" width="12.5703125" style="178" customWidth="1"/>
    <col min="9997" max="9998" width="13.140625" style="178" customWidth="1"/>
    <col min="9999" max="10000" width="9.140625" style="178"/>
    <col min="10001" max="10001" width="11" style="178" customWidth="1"/>
    <col min="10002" max="10244" width="9.140625" style="178"/>
    <col min="10245" max="10245" width="26.85546875" style="178" customWidth="1"/>
    <col min="10246" max="10246" width="0" style="178" hidden="1" customWidth="1"/>
    <col min="10247" max="10247" width="12.42578125" style="178" customWidth="1"/>
    <col min="10248" max="10249" width="11.140625" style="178" customWidth="1"/>
    <col min="10250" max="10250" width="12.140625" style="178" customWidth="1"/>
    <col min="10251" max="10251" width="14" style="178" customWidth="1"/>
    <col min="10252" max="10252" width="12.5703125" style="178" customWidth="1"/>
    <col min="10253" max="10254" width="13.140625" style="178" customWidth="1"/>
    <col min="10255" max="10256" width="9.140625" style="178"/>
    <col min="10257" max="10257" width="11" style="178" customWidth="1"/>
    <col min="10258" max="10500" width="9.140625" style="178"/>
    <col min="10501" max="10501" width="26.85546875" style="178" customWidth="1"/>
    <col min="10502" max="10502" width="0" style="178" hidden="1" customWidth="1"/>
    <col min="10503" max="10503" width="12.42578125" style="178" customWidth="1"/>
    <col min="10504" max="10505" width="11.140625" style="178" customWidth="1"/>
    <col min="10506" max="10506" width="12.140625" style="178" customWidth="1"/>
    <col min="10507" max="10507" width="14" style="178" customWidth="1"/>
    <col min="10508" max="10508" width="12.5703125" style="178" customWidth="1"/>
    <col min="10509" max="10510" width="13.140625" style="178" customWidth="1"/>
    <col min="10511" max="10512" width="9.140625" style="178"/>
    <col min="10513" max="10513" width="11" style="178" customWidth="1"/>
    <col min="10514" max="10756" width="9.140625" style="178"/>
    <col min="10757" max="10757" width="26.85546875" style="178" customWidth="1"/>
    <col min="10758" max="10758" width="0" style="178" hidden="1" customWidth="1"/>
    <col min="10759" max="10759" width="12.42578125" style="178" customWidth="1"/>
    <col min="10760" max="10761" width="11.140625" style="178" customWidth="1"/>
    <col min="10762" max="10762" width="12.140625" style="178" customWidth="1"/>
    <col min="10763" max="10763" width="14" style="178" customWidth="1"/>
    <col min="10764" max="10764" width="12.5703125" style="178" customWidth="1"/>
    <col min="10765" max="10766" width="13.140625" style="178" customWidth="1"/>
    <col min="10767" max="10768" width="9.140625" style="178"/>
    <col min="10769" max="10769" width="11" style="178" customWidth="1"/>
    <col min="10770" max="11012" width="9.140625" style="178"/>
    <col min="11013" max="11013" width="26.85546875" style="178" customWidth="1"/>
    <col min="11014" max="11014" width="0" style="178" hidden="1" customWidth="1"/>
    <col min="11015" max="11015" width="12.42578125" style="178" customWidth="1"/>
    <col min="11016" max="11017" width="11.140625" style="178" customWidth="1"/>
    <col min="11018" max="11018" width="12.140625" style="178" customWidth="1"/>
    <col min="11019" max="11019" width="14" style="178" customWidth="1"/>
    <col min="11020" max="11020" width="12.5703125" style="178" customWidth="1"/>
    <col min="11021" max="11022" width="13.140625" style="178" customWidth="1"/>
    <col min="11023" max="11024" width="9.140625" style="178"/>
    <col min="11025" max="11025" width="11" style="178" customWidth="1"/>
    <col min="11026" max="11268" width="9.140625" style="178"/>
    <col min="11269" max="11269" width="26.85546875" style="178" customWidth="1"/>
    <col min="11270" max="11270" width="0" style="178" hidden="1" customWidth="1"/>
    <col min="11271" max="11271" width="12.42578125" style="178" customWidth="1"/>
    <col min="11272" max="11273" width="11.140625" style="178" customWidth="1"/>
    <col min="11274" max="11274" width="12.140625" style="178" customWidth="1"/>
    <col min="11275" max="11275" width="14" style="178" customWidth="1"/>
    <col min="11276" max="11276" width="12.5703125" style="178" customWidth="1"/>
    <col min="11277" max="11278" width="13.140625" style="178" customWidth="1"/>
    <col min="11279" max="11280" width="9.140625" style="178"/>
    <col min="11281" max="11281" width="11" style="178" customWidth="1"/>
    <col min="11282" max="11524" width="9.140625" style="178"/>
    <col min="11525" max="11525" width="26.85546875" style="178" customWidth="1"/>
    <col min="11526" max="11526" width="0" style="178" hidden="1" customWidth="1"/>
    <col min="11527" max="11527" width="12.42578125" style="178" customWidth="1"/>
    <col min="11528" max="11529" width="11.140625" style="178" customWidth="1"/>
    <col min="11530" max="11530" width="12.140625" style="178" customWidth="1"/>
    <col min="11531" max="11531" width="14" style="178" customWidth="1"/>
    <col min="11532" max="11532" width="12.5703125" style="178" customWidth="1"/>
    <col min="11533" max="11534" width="13.140625" style="178" customWidth="1"/>
    <col min="11535" max="11536" width="9.140625" style="178"/>
    <col min="11537" max="11537" width="11" style="178" customWidth="1"/>
    <col min="11538" max="11780" width="9.140625" style="178"/>
    <col min="11781" max="11781" width="26.85546875" style="178" customWidth="1"/>
    <col min="11782" max="11782" width="0" style="178" hidden="1" customWidth="1"/>
    <col min="11783" max="11783" width="12.42578125" style="178" customWidth="1"/>
    <col min="11784" max="11785" width="11.140625" style="178" customWidth="1"/>
    <col min="11786" max="11786" width="12.140625" style="178" customWidth="1"/>
    <col min="11787" max="11787" width="14" style="178" customWidth="1"/>
    <col min="11788" max="11788" width="12.5703125" style="178" customWidth="1"/>
    <col min="11789" max="11790" width="13.140625" style="178" customWidth="1"/>
    <col min="11791" max="11792" width="9.140625" style="178"/>
    <col min="11793" max="11793" width="11" style="178" customWidth="1"/>
    <col min="11794" max="12036" width="9.140625" style="178"/>
    <col min="12037" max="12037" width="26.85546875" style="178" customWidth="1"/>
    <col min="12038" max="12038" width="0" style="178" hidden="1" customWidth="1"/>
    <col min="12039" max="12039" width="12.42578125" style="178" customWidth="1"/>
    <col min="12040" max="12041" width="11.140625" style="178" customWidth="1"/>
    <col min="12042" max="12042" width="12.140625" style="178" customWidth="1"/>
    <col min="12043" max="12043" width="14" style="178" customWidth="1"/>
    <col min="12044" max="12044" width="12.5703125" style="178" customWidth="1"/>
    <col min="12045" max="12046" width="13.140625" style="178" customWidth="1"/>
    <col min="12047" max="12048" width="9.140625" style="178"/>
    <col min="12049" max="12049" width="11" style="178" customWidth="1"/>
    <col min="12050" max="12292" width="9.140625" style="178"/>
    <col min="12293" max="12293" width="26.85546875" style="178" customWidth="1"/>
    <col min="12294" max="12294" width="0" style="178" hidden="1" customWidth="1"/>
    <col min="12295" max="12295" width="12.42578125" style="178" customWidth="1"/>
    <col min="12296" max="12297" width="11.140625" style="178" customWidth="1"/>
    <col min="12298" max="12298" width="12.140625" style="178" customWidth="1"/>
    <col min="12299" max="12299" width="14" style="178" customWidth="1"/>
    <col min="12300" max="12300" width="12.5703125" style="178" customWidth="1"/>
    <col min="12301" max="12302" width="13.140625" style="178" customWidth="1"/>
    <col min="12303" max="12304" width="9.140625" style="178"/>
    <col min="12305" max="12305" width="11" style="178" customWidth="1"/>
    <col min="12306" max="12548" width="9.140625" style="178"/>
    <col min="12549" max="12549" width="26.85546875" style="178" customWidth="1"/>
    <col min="12550" max="12550" width="0" style="178" hidden="1" customWidth="1"/>
    <col min="12551" max="12551" width="12.42578125" style="178" customWidth="1"/>
    <col min="12552" max="12553" width="11.140625" style="178" customWidth="1"/>
    <col min="12554" max="12554" width="12.140625" style="178" customWidth="1"/>
    <col min="12555" max="12555" width="14" style="178" customWidth="1"/>
    <col min="12556" max="12556" width="12.5703125" style="178" customWidth="1"/>
    <col min="12557" max="12558" width="13.140625" style="178" customWidth="1"/>
    <col min="12559" max="12560" width="9.140625" style="178"/>
    <col min="12561" max="12561" width="11" style="178" customWidth="1"/>
    <col min="12562" max="12804" width="9.140625" style="178"/>
    <col min="12805" max="12805" width="26.85546875" style="178" customWidth="1"/>
    <col min="12806" max="12806" width="0" style="178" hidden="1" customWidth="1"/>
    <col min="12807" max="12807" width="12.42578125" style="178" customWidth="1"/>
    <col min="12808" max="12809" width="11.140625" style="178" customWidth="1"/>
    <col min="12810" max="12810" width="12.140625" style="178" customWidth="1"/>
    <col min="12811" max="12811" width="14" style="178" customWidth="1"/>
    <col min="12812" max="12812" width="12.5703125" style="178" customWidth="1"/>
    <col min="12813" max="12814" width="13.140625" style="178" customWidth="1"/>
    <col min="12815" max="12816" width="9.140625" style="178"/>
    <col min="12817" max="12817" width="11" style="178" customWidth="1"/>
    <col min="12818" max="13060" width="9.140625" style="178"/>
    <col min="13061" max="13061" width="26.85546875" style="178" customWidth="1"/>
    <col min="13062" max="13062" width="0" style="178" hidden="1" customWidth="1"/>
    <col min="13063" max="13063" width="12.42578125" style="178" customWidth="1"/>
    <col min="13064" max="13065" width="11.140625" style="178" customWidth="1"/>
    <col min="13066" max="13066" width="12.140625" style="178" customWidth="1"/>
    <col min="13067" max="13067" width="14" style="178" customWidth="1"/>
    <col min="13068" max="13068" width="12.5703125" style="178" customWidth="1"/>
    <col min="13069" max="13070" width="13.140625" style="178" customWidth="1"/>
    <col min="13071" max="13072" width="9.140625" style="178"/>
    <col min="13073" max="13073" width="11" style="178" customWidth="1"/>
    <col min="13074" max="13316" width="9.140625" style="178"/>
    <col min="13317" max="13317" width="26.85546875" style="178" customWidth="1"/>
    <col min="13318" max="13318" width="0" style="178" hidden="1" customWidth="1"/>
    <col min="13319" max="13319" width="12.42578125" style="178" customWidth="1"/>
    <col min="13320" max="13321" width="11.140625" style="178" customWidth="1"/>
    <col min="13322" max="13322" width="12.140625" style="178" customWidth="1"/>
    <col min="13323" max="13323" width="14" style="178" customWidth="1"/>
    <col min="13324" max="13324" width="12.5703125" style="178" customWidth="1"/>
    <col min="13325" max="13326" width="13.140625" style="178" customWidth="1"/>
    <col min="13327" max="13328" width="9.140625" style="178"/>
    <col min="13329" max="13329" width="11" style="178" customWidth="1"/>
    <col min="13330" max="13572" width="9.140625" style="178"/>
    <col min="13573" max="13573" width="26.85546875" style="178" customWidth="1"/>
    <col min="13574" max="13574" width="0" style="178" hidden="1" customWidth="1"/>
    <col min="13575" max="13575" width="12.42578125" style="178" customWidth="1"/>
    <col min="13576" max="13577" width="11.140625" style="178" customWidth="1"/>
    <col min="13578" max="13578" width="12.140625" style="178" customWidth="1"/>
    <col min="13579" max="13579" width="14" style="178" customWidth="1"/>
    <col min="13580" max="13580" width="12.5703125" style="178" customWidth="1"/>
    <col min="13581" max="13582" width="13.140625" style="178" customWidth="1"/>
    <col min="13583" max="13584" width="9.140625" style="178"/>
    <col min="13585" max="13585" width="11" style="178" customWidth="1"/>
    <col min="13586" max="13828" width="9.140625" style="178"/>
    <col min="13829" max="13829" width="26.85546875" style="178" customWidth="1"/>
    <col min="13830" max="13830" width="0" style="178" hidden="1" customWidth="1"/>
    <col min="13831" max="13831" width="12.42578125" style="178" customWidth="1"/>
    <col min="13832" max="13833" width="11.140625" style="178" customWidth="1"/>
    <col min="13834" max="13834" width="12.140625" style="178" customWidth="1"/>
    <col min="13835" max="13835" width="14" style="178" customWidth="1"/>
    <col min="13836" max="13836" width="12.5703125" style="178" customWidth="1"/>
    <col min="13837" max="13838" width="13.140625" style="178" customWidth="1"/>
    <col min="13839" max="13840" width="9.140625" style="178"/>
    <col min="13841" max="13841" width="11" style="178" customWidth="1"/>
    <col min="13842" max="14084" width="9.140625" style="178"/>
    <col min="14085" max="14085" width="26.85546875" style="178" customWidth="1"/>
    <col min="14086" max="14086" width="0" style="178" hidden="1" customWidth="1"/>
    <col min="14087" max="14087" width="12.42578125" style="178" customWidth="1"/>
    <col min="14088" max="14089" width="11.140625" style="178" customWidth="1"/>
    <col min="14090" max="14090" width="12.140625" style="178" customWidth="1"/>
    <col min="14091" max="14091" width="14" style="178" customWidth="1"/>
    <col min="14092" max="14092" width="12.5703125" style="178" customWidth="1"/>
    <col min="14093" max="14094" width="13.140625" style="178" customWidth="1"/>
    <col min="14095" max="14096" width="9.140625" style="178"/>
    <col min="14097" max="14097" width="11" style="178" customWidth="1"/>
    <col min="14098" max="14340" width="9.140625" style="178"/>
    <col min="14341" max="14341" width="26.85546875" style="178" customWidth="1"/>
    <col min="14342" max="14342" width="0" style="178" hidden="1" customWidth="1"/>
    <col min="14343" max="14343" width="12.42578125" style="178" customWidth="1"/>
    <col min="14344" max="14345" width="11.140625" style="178" customWidth="1"/>
    <col min="14346" max="14346" width="12.140625" style="178" customWidth="1"/>
    <col min="14347" max="14347" width="14" style="178" customWidth="1"/>
    <col min="14348" max="14348" width="12.5703125" style="178" customWidth="1"/>
    <col min="14349" max="14350" width="13.140625" style="178" customWidth="1"/>
    <col min="14351" max="14352" width="9.140625" style="178"/>
    <col min="14353" max="14353" width="11" style="178" customWidth="1"/>
    <col min="14354" max="14596" width="9.140625" style="178"/>
    <col min="14597" max="14597" width="26.85546875" style="178" customWidth="1"/>
    <col min="14598" max="14598" width="0" style="178" hidden="1" customWidth="1"/>
    <col min="14599" max="14599" width="12.42578125" style="178" customWidth="1"/>
    <col min="14600" max="14601" width="11.140625" style="178" customWidth="1"/>
    <col min="14602" max="14602" width="12.140625" style="178" customWidth="1"/>
    <col min="14603" max="14603" width="14" style="178" customWidth="1"/>
    <col min="14604" max="14604" width="12.5703125" style="178" customWidth="1"/>
    <col min="14605" max="14606" width="13.140625" style="178" customWidth="1"/>
    <col min="14607" max="14608" width="9.140625" style="178"/>
    <col min="14609" max="14609" width="11" style="178" customWidth="1"/>
    <col min="14610" max="14852" width="9.140625" style="178"/>
    <col min="14853" max="14853" width="26.85546875" style="178" customWidth="1"/>
    <col min="14854" max="14854" width="0" style="178" hidden="1" customWidth="1"/>
    <col min="14855" max="14855" width="12.42578125" style="178" customWidth="1"/>
    <col min="14856" max="14857" width="11.140625" style="178" customWidth="1"/>
    <col min="14858" max="14858" width="12.140625" style="178" customWidth="1"/>
    <col min="14859" max="14859" width="14" style="178" customWidth="1"/>
    <col min="14860" max="14860" width="12.5703125" style="178" customWidth="1"/>
    <col min="14861" max="14862" width="13.140625" style="178" customWidth="1"/>
    <col min="14863" max="14864" width="9.140625" style="178"/>
    <col min="14865" max="14865" width="11" style="178" customWidth="1"/>
    <col min="14866" max="15108" width="9.140625" style="178"/>
    <col min="15109" max="15109" width="26.85546875" style="178" customWidth="1"/>
    <col min="15110" max="15110" width="0" style="178" hidden="1" customWidth="1"/>
    <col min="15111" max="15111" width="12.42578125" style="178" customWidth="1"/>
    <col min="15112" max="15113" width="11.140625" style="178" customWidth="1"/>
    <col min="15114" max="15114" width="12.140625" style="178" customWidth="1"/>
    <col min="15115" max="15115" width="14" style="178" customWidth="1"/>
    <col min="15116" max="15116" width="12.5703125" style="178" customWidth="1"/>
    <col min="15117" max="15118" width="13.140625" style="178" customWidth="1"/>
    <col min="15119" max="15120" width="9.140625" style="178"/>
    <col min="15121" max="15121" width="11" style="178" customWidth="1"/>
    <col min="15122" max="15364" width="9.140625" style="178"/>
    <col min="15365" max="15365" width="26.85546875" style="178" customWidth="1"/>
    <col min="15366" max="15366" width="0" style="178" hidden="1" customWidth="1"/>
    <col min="15367" max="15367" width="12.42578125" style="178" customWidth="1"/>
    <col min="15368" max="15369" width="11.140625" style="178" customWidth="1"/>
    <col min="15370" max="15370" width="12.140625" style="178" customWidth="1"/>
    <col min="15371" max="15371" width="14" style="178" customWidth="1"/>
    <col min="15372" max="15372" width="12.5703125" style="178" customWidth="1"/>
    <col min="15373" max="15374" width="13.140625" style="178" customWidth="1"/>
    <col min="15375" max="15376" width="9.140625" style="178"/>
    <col min="15377" max="15377" width="11" style="178" customWidth="1"/>
    <col min="15378" max="15620" width="9.140625" style="178"/>
    <col min="15621" max="15621" width="26.85546875" style="178" customWidth="1"/>
    <col min="15622" max="15622" width="0" style="178" hidden="1" customWidth="1"/>
    <col min="15623" max="15623" width="12.42578125" style="178" customWidth="1"/>
    <col min="15624" max="15625" width="11.140625" style="178" customWidth="1"/>
    <col min="15626" max="15626" width="12.140625" style="178" customWidth="1"/>
    <col min="15627" max="15627" width="14" style="178" customWidth="1"/>
    <col min="15628" max="15628" width="12.5703125" style="178" customWidth="1"/>
    <col min="15629" max="15630" width="13.140625" style="178" customWidth="1"/>
    <col min="15631" max="15632" width="9.140625" style="178"/>
    <col min="15633" max="15633" width="11" style="178" customWidth="1"/>
    <col min="15634" max="15876" width="9.140625" style="178"/>
    <col min="15877" max="15877" width="26.85546875" style="178" customWidth="1"/>
    <col min="15878" max="15878" width="0" style="178" hidden="1" customWidth="1"/>
    <col min="15879" max="15879" width="12.42578125" style="178" customWidth="1"/>
    <col min="15880" max="15881" width="11.140625" style="178" customWidth="1"/>
    <col min="15882" max="15882" width="12.140625" style="178" customWidth="1"/>
    <col min="15883" max="15883" width="14" style="178" customWidth="1"/>
    <col min="15884" max="15884" width="12.5703125" style="178" customWidth="1"/>
    <col min="15885" max="15886" width="13.140625" style="178" customWidth="1"/>
    <col min="15887" max="15888" width="9.140625" style="178"/>
    <col min="15889" max="15889" width="11" style="178" customWidth="1"/>
    <col min="15890" max="16132" width="9.140625" style="178"/>
    <col min="16133" max="16133" width="26.85546875" style="178" customWidth="1"/>
    <col min="16134" max="16134" width="0" style="178" hidden="1" customWidth="1"/>
    <col min="16135" max="16135" width="12.42578125" style="178" customWidth="1"/>
    <col min="16136" max="16137" width="11.140625" style="178" customWidth="1"/>
    <col min="16138" max="16138" width="12.140625" style="178" customWidth="1"/>
    <col min="16139" max="16139" width="14" style="178" customWidth="1"/>
    <col min="16140" max="16140" width="12.5703125" style="178" customWidth="1"/>
    <col min="16141" max="16142" width="13.140625" style="178" customWidth="1"/>
    <col min="16143" max="16144" width="9.140625" style="178"/>
    <col min="16145" max="16145" width="11" style="178" customWidth="1"/>
    <col min="16146" max="16384" width="9.140625" style="178"/>
  </cols>
  <sheetData>
    <row r="2" spans="15:25" x14ac:dyDescent="0.2">
      <c r="O2" s="376" t="s">
        <v>156</v>
      </c>
      <c r="P2" s="376"/>
      <c r="Q2" s="376"/>
      <c r="R2" s="376"/>
      <c r="S2" s="376"/>
      <c r="T2" s="376"/>
      <c r="U2" s="376"/>
      <c r="V2" s="376"/>
      <c r="W2" s="376"/>
      <c r="X2" s="376"/>
      <c r="Y2" s="116"/>
    </row>
    <row r="3" spans="15:25" ht="51" x14ac:dyDescent="0.2">
      <c r="O3" s="179"/>
      <c r="P3" s="180" t="s">
        <v>157</v>
      </c>
      <c r="Q3" s="180" t="s">
        <v>158</v>
      </c>
      <c r="R3" s="180" t="s">
        <v>159</v>
      </c>
      <c r="S3" s="180" t="s">
        <v>160</v>
      </c>
      <c r="T3" s="180" t="s">
        <v>161</v>
      </c>
      <c r="U3" s="180" t="s">
        <v>162</v>
      </c>
      <c r="V3" s="180" t="s">
        <v>163</v>
      </c>
      <c r="W3" s="180" t="s">
        <v>164</v>
      </c>
      <c r="X3" s="180" t="s">
        <v>165</v>
      </c>
    </row>
    <row r="4" spans="15:25" ht="15" customHeight="1" x14ac:dyDescent="0.2">
      <c r="O4" s="377" t="s">
        <v>166</v>
      </c>
      <c r="P4" s="378"/>
      <c r="Q4" s="378"/>
      <c r="R4" s="378"/>
      <c r="S4" s="378"/>
      <c r="T4" s="378"/>
      <c r="U4" s="378"/>
      <c r="V4" s="378"/>
      <c r="W4" s="378"/>
      <c r="X4" s="379"/>
    </row>
    <row r="5" spans="15:25" x14ac:dyDescent="0.2">
      <c r="O5" s="181" t="s">
        <v>167</v>
      </c>
      <c r="P5" s="334">
        <v>1917697</v>
      </c>
      <c r="Q5" s="334">
        <v>2012554</v>
      </c>
      <c r="R5" s="334">
        <f t="shared" ref="R5:R11" si="0">3040389*Y5</f>
        <v>2055321.799325021</v>
      </c>
      <c r="S5" s="334">
        <f t="shared" ref="S5:S11" si="1">3656482*Y5</f>
        <v>2471804.4840444927</v>
      </c>
      <c r="T5" s="334">
        <v>2213912</v>
      </c>
      <c r="U5" s="334">
        <v>2248530.17</v>
      </c>
      <c r="V5" s="334">
        <f>'[13]2017 Test Yr On Existing Rates'!$H$18</f>
        <v>2221219.6825808138</v>
      </c>
      <c r="W5" s="334">
        <f>'[13]2017 Test Yr On Existing Rates'!$H$7</f>
        <v>2232302.8497999893</v>
      </c>
      <c r="X5" s="335">
        <f>'[13]Rates By Rate Class'!$I$6</f>
        <v>2652608.397151059</v>
      </c>
      <c r="Y5" s="336">
        <f>U5/U12</f>
        <v>0.67600619503787873</v>
      </c>
    </row>
    <row r="6" spans="15:25" x14ac:dyDescent="0.2">
      <c r="O6" s="181" t="s">
        <v>168</v>
      </c>
      <c r="P6" s="334">
        <v>182517</v>
      </c>
      <c r="Q6" s="334">
        <v>422909</v>
      </c>
      <c r="R6" s="334">
        <f t="shared" si="0"/>
        <v>351937.48567666271</v>
      </c>
      <c r="S6" s="334">
        <f t="shared" si="1"/>
        <v>423252.77505673614</v>
      </c>
      <c r="T6" s="334">
        <v>431736.7</v>
      </c>
      <c r="U6" s="334">
        <v>385021</v>
      </c>
      <c r="V6" s="334">
        <f>'[13]2017 Test Yr On Existing Rates'!$H$19</f>
        <v>380218.40727182978</v>
      </c>
      <c r="W6" s="334">
        <f>'[13]2017 Test Yr On Existing Rates'!$H$8</f>
        <v>382866.98655941675</v>
      </c>
      <c r="X6" s="335">
        <f>'[13]Rates By Rate Class'!$I$7</f>
        <v>564424.28282827383</v>
      </c>
      <c r="Y6" s="336">
        <f>U6/U12</f>
        <v>0.11575409780678153</v>
      </c>
    </row>
    <row r="7" spans="15:25" x14ac:dyDescent="0.2">
      <c r="O7" s="181" t="s">
        <v>169</v>
      </c>
      <c r="P7" s="334">
        <v>855946</v>
      </c>
      <c r="Q7" s="334">
        <v>431398</v>
      </c>
      <c r="R7" s="334">
        <f t="shared" si="0"/>
        <v>397449.20428900077</v>
      </c>
      <c r="S7" s="334">
        <f t="shared" si="1"/>
        <v>477986.81727800431</v>
      </c>
      <c r="T7" s="334">
        <v>590077.4</v>
      </c>
      <c r="U7" s="334">
        <v>434811</v>
      </c>
      <c r="V7" s="334">
        <f>'[13]2017 Test Yr On Existing Rates'!$H$20</f>
        <v>512805.45305821195</v>
      </c>
      <c r="W7" s="334">
        <f>'[13]2017 Test Yr On Existing Rates'!$H$9</f>
        <v>506050.41056294972</v>
      </c>
      <c r="X7" s="335">
        <f>'[13]Rates By Rate Class'!$I$8</f>
        <v>602776.52863058529</v>
      </c>
      <c r="Y7" s="336">
        <f>U7/U12</f>
        <v>0.13072314242980118</v>
      </c>
    </row>
    <row r="8" spans="15:25" x14ac:dyDescent="0.2">
      <c r="O8" s="181" t="s">
        <v>170</v>
      </c>
      <c r="P8" s="334">
        <v>564</v>
      </c>
      <c r="Q8" s="334">
        <v>381</v>
      </c>
      <c r="R8" s="334">
        <f t="shared" si="0"/>
        <v>248.30806107735791</v>
      </c>
      <c r="S8" s="334">
        <f t="shared" si="1"/>
        <v>298.62427333616188</v>
      </c>
      <c r="T8" s="334">
        <v>298.11</v>
      </c>
      <c r="U8" s="334">
        <v>271.64999999999998</v>
      </c>
      <c r="V8" s="334">
        <f>'[13]2017 Test Yr On Existing Rates'!$H$24</f>
        <v>345.37720000000002</v>
      </c>
      <c r="W8" s="334">
        <f>'[13]2017 Test Yr On Existing Rates'!$H$13</f>
        <v>345.37720000000002</v>
      </c>
      <c r="X8" s="335">
        <f>'[13]Rates By Rate Class'!$I$12</f>
        <v>509.90936922293639</v>
      </c>
      <c r="Y8" s="336">
        <f>U8/U12</f>
        <v>8.1669832734350084E-5</v>
      </c>
    </row>
    <row r="9" spans="15:25" x14ac:dyDescent="0.2">
      <c r="O9" s="309" t="str">
        <f>Summary!A31</f>
        <v>Unmetered Scattered Load</v>
      </c>
      <c r="P9" s="334">
        <v>563</v>
      </c>
      <c r="Q9" s="334">
        <v>117759</v>
      </c>
      <c r="R9" s="334">
        <f t="shared" si="0"/>
        <v>83560.941326882938</v>
      </c>
      <c r="S9" s="334">
        <f t="shared" si="1"/>
        <v>100493.41642296549</v>
      </c>
      <c r="T9" s="334">
        <v>82503.199999999997</v>
      </c>
      <c r="U9" s="334">
        <v>91416</v>
      </c>
      <c r="V9" s="334">
        <f>'[13]2017 Test Yr On Existing Rates'!$H$22</f>
        <v>113557.63432747728</v>
      </c>
      <c r="W9" s="334">
        <f>'[13]2017 Test Yr On Existing Rates'!$H$11</f>
        <v>113740.93752256574</v>
      </c>
      <c r="X9" s="335">
        <f>'[13]Rates By Rate Class'!$I$10</f>
        <v>98326.42658503697</v>
      </c>
      <c r="Y9" s="336">
        <f>U9/U12</f>
        <v>2.7483634931873172E-2</v>
      </c>
    </row>
    <row r="10" spans="15:25" x14ac:dyDescent="0.2">
      <c r="O10" s="309" t="str">
        <f>Summary!A35</f>
        <v>Sentinel Lights</v>
      </c>
      <c r="P10" s="334">
        <v>2054</v>
      </c>
      <c r="Q10" s="334">
        <v>3074</v>
      </c>
      <c r="R10" s="334">
        <f t="shared" si="0"/>
        <v>2570.1552505609129</v>
      </c>
      <c r="S10" s="334">
        <f t="shared" si="1"/>
        <v>3090.9618508952203</v>
      </c>
      <c r="T10" s="334">
        <v>1</v>
      </c>
      <c r="U10" s="334">
        <v>2811.76</v>
      </c>
      <c r="V10" s="334">
        <f>'[13]2017 Test Yr On Existing Rates'!$H$23</f>
        <v>2882.7127071939685</v>
      </c>
      <c r="W10" s="334">
        <f>'[13]2017 Test Yr On Existing Rates'!$H$12</f>
        <v>2887.7015772976183</v>
      </c>
      <c r="X10" s="335">
        <f>'[13]Rates By Rate Class'!$I$11</f>
        <v>4435.0145771481475</v>
      </c>
      <c r="Y10" s="336">
        <f>U10/U12</f>
        <v>8.4533763625671348E-4</v>
      </c>
    </row>
    <row r="11" spans="15:25" x14ac:dyDescent="0.2">
      <c r="O11" s="181" t="s">
        <v>289</v>
      </c>
      <c r="P11" s="334">
        <v>0</v>
      </c>
      <c r="Q11" s="334">
        <v>102204</v>
      </c>
      <c r="R11" s="334">
        <f t="shared" si="0"/>
        <v>149301.10607079451</v>
      </c>
      <c r="S11" s="334">
        <f t="shared" si="1"/>
        <v>179554.92107357015</v>
      </c>
      <c r="T11" s="334">
        <v>1</v>
      </c>
      <c r="U11" s="334">
        <v>163336</v>
      </c>
      <c r="V11" s="334">
        <f>'[13]2017 Test Yr On Existing Rates'!$H$21</f>
        <v>116294.81441988278</v>
      </c>
      <c r="W11" s="334">
        <f>'[13]2017 Test Yr On Existing Rates'!$H$10</f>
        <v>115410.05641920419</v>
      </c>
      <c r="X11" s="335">
        <f>'[13]Rates By Rate Class'!$I$9</f>
        <v>58475.887445084678</v>
      </c>
      <c r="Y11" s="336">
        <f>U11/U12</f>
        <v>4.9105922324674416E-2</v>
      </c>
    </row>
    <row r="12" spans="15:25" x14ac:dyDescent="0.2">
      <c r="O12" s="182" t="s">
        <v>11</v>
      </c>
      <c r="P12" s="183">
        <f>SUM(P5:P11)</f>
        <v>2959341</v>
      </c>
      <c r="Q12" s="183">
        <f t="shared" ref="Q12:X12" si="2">SUM(Q5:Q11)</f>
        <v>3090279</v>
      </c>
      <c r="R12" s="183">
        <f t="shared" si="2"/>
        <v>3040389.0000000005</v>
      </c>
      <c r="S12" s="183">
        <f t="shared" si="2"/>
        <v>3656482</v>
      </c>
      <c r="T12" s="183">
        <f t="shared" si="2"/>
        <v>3318529.41</v>
      </c>
      <c r="U12" s="183">
        <f t="shared" si="2"/>
        <v>3326197.5799999996</v>
      </c>
      <c r="V12" s="183">
        <f t="shared" si="2"/>
        <v>3347324.0815654099</v>
      </c>
      <c r="W12" s="183">
        <f t="shared" si="2"/>
        <v>3353604.3196414229</v>
      </c>
      <c r="X12" s="183">
        <f t="shared" si="2"/>
        <v>3981556.4465864105</v>
      </c>
      <c r="Y12" t="s">
        <v>295</v>
      </c>
    </row>
    <row r="13" spans="15:25" ht="15" customHeight="1" x14ac:dyDescent="0.2">
      <c r="O13" s="377" t="s">
        <v>171</v>
      </c>
      <c r="P13" s="378"/>
      <c r="Q13" s="378"/>
      <c r="R13" s="378"/>
      <c r="S13" s="378"/>
      <c r="T13" s="378"/>
      <c r="U13" s="378"/>
      <c r="V13" s="378"/>
      <c r="W13" s="378"/>
      <c r="X13" s="379"/>
    </row>
    <row r="14" spans="15:25" x14ac:dyDescent="0.2">
      <c r="O14" s="181" t="s">
        <v>173</v>
      </c>
      <c r="P14" s="334">
        <v>65524</v>
      </c>
      <c r="Q14" s="334">
        <v>66000</v>
      </c>
      <c r="R14" s="334">
        <v>108922</v>
      </c>
      <c r="S14" s="334">
        <v>72073</v>
      </c>
      <c r="T14" s="334">
        <v>77125</v>
      </c>
      <c r="U14" s="334">
        <v>75229</v>
      </c>
      <c r="V14" s="334">
        <v>75000</v>
      </c>
      <c r="W14" s="334">
        <v>81670</v>
      </c>
      <c r="X14" s="335">
        <v>81670</v>
      </c>
    </row>
    <row r="15" spans="15:25" x14ac:dyDescent="0.2">
      <c r="O15" s="181" t="s">
        <v>172</v>
      </c>
      <c r="P15" s="334">
        <v>127882</v>
      </c>
      <c r="Q15" s="334">
        <v>130000</v>
      </c>
      <c r="R15" s="334">
        <v>108646</v>
      </c>
      <c r="S15" s="334">
        <v>111041</v>
      </c>
      <c r="T15" s="334">
        <v>107336</v>
      </c>
      <c r="U15" s="334">
        <v>120092</v>
      </c>
      <c r="V15" s="334">
        <v>126000</v>
      </c>
      <c r="W15" s="334">
        <v>114623</v>
      </c>
      <c r="X15" s="335">
        <v>114623</v>
      </c>
    </row>
    <row r="16" spans="15:25" x14ac:dyDescent="0.2">
      <c r="O16" s="181" t="s">
        <v>293</v>
      </c>
      <c r="P16" s="334">
        <v>66689</v>
      </c>
      <c r="Q16" s="334">
        <v>72305</v>
      </c>
      <c r="R16" s="334">
        <v>460219</v>
      </c>
      <c r="S16" s="334">
        <v>323318</v>
      </c>
      <c r="T16" s="334">
        <v>64039</v>
      </c>
      <c r="U16" s="334">
        <v>45894</v>
      </c>
      <c r="V16" s="334">
        <v>51000</v>
      </c>
      <c r="W16" s="334">
        <v>48447</v>
      </c>
      <c r="X16" s="335">
        <v>48447</v>
      </c>
    </row>
    <row r="17" spans="1:24" x14ac:dyDescent="0.2">
      <c r="O17" s="181" t="s">
        <v>294</v>
      </c>
      <c r="P17" s="334">
        <v>513834</v>
      </c>
      <c r="Q17" s="334">
        <v>359500</v>
      </c>
      <c r="R17" s="334">
        <v>411008</v>
      </c>
      <c r="S17" s="334">
        <v>-109654</v>
      </c>
      <c r="T17" s="334">
        <v>322948</v>
      </c>
      <c r="U17" s="334">
        <v>477533</v>
      </c>
      <c r="V17" s="334">
        <v>354017</v>
      </c>
      <c r="W17" s="334">
        <v>303758</v>
      </c>
      <c r="X17" s="335">
        <v>303758</v>
      </c>
    </row>
    <row r="18" spans="1:24" x14ac:dyDescent="0.2">
      <c r="O18" s="182" t="s">
        <v>11</v>
      </c>
      <c r="P18" s="185">
        <f t="shared" ref="P18:X18" si="3">SUM(P14:P17)</f>
        <v>773929</v>
      </c>
      <c r="Q18" s="185">
        <f t="shared" si="3"/>
        <v>627805</v>
      </c>
      <c r="R18" s="185">
        <f t="shared" si="3"/>
        <v>1088795</v>
      </c>
      <c r="S18" s="185">
        <f t="shared" si="3"/>
        <v>396778</v>
      </c>
      <c r="T18" s="185">
        <f t="shared" si="3"/>
        <v>571448</v>
      </c>
      <c r="U18" s="185">
        <f t="shared" si="3"/>
        <v>718748</v>
      </c>
      <c r="V18" s="185">
        <f t="shared" si="3"/>
        <v>606017</v>
      </c>
      <c r="W18" s="185">
        <f t="shared" si="3"/>
        <v>548498</v>
      </c>
      <c r="X18" s="185">
        <f t="shared" si="3"/>
        <v>548498</v>
      </c>
    </row>
    <row r="19" spans="1:24" x14ac:dyDescent="0.2">
      <c r="O19" s="182" t="s">
        <v>174</v>
      </c>
      <c r="P19" s="186">
        <f t="shared" ref="P19:X19" si="4">P12+P18</f>
        <v>3733270</v>
      </c>
      <c r="Q19" s="186">
        <f t="shared" si="4"/>
        <v>3718084</v>
      </c>
      <c r="R19" s="186">
        <f t="shared" si="4"/>
        <v>4129184.0000000005</v>
      </c>
      <c r="S19" s="186">
        <f t="shared" si="4"/>
        <v>4053260</v>
      </c>
      <c r="T19" s="186">
        <f t="shared" si="4"/>
        <v>3889977.41</v>
      </c>
      <c r="U19" s="186">
        <f t="shared" si="4"/>
        <v>4044945.5799999996</v>
      </c>
      <c r="V19" s="186">
        <f t="shared" si="4"/>
        <v>3953341.0815654099</v>
      </c>
      <c r="W19" s="186">
        <f t="shared" si="4"/>
        <v>3902102.3196414229</v>
      </c>
      <c r="X19" s="186">
        <f t="shared" si="4"/>
        <v>4530054.4465864105</v>
      </c>
    </row>
    <row r="21" spans="1:24" x14ac:dyDescent="0.2">
      <c r="P21" s="337"/>
      <c r="Q21" s="337"/>
      <c r="R21" s="337"/>
      <c r="S21" s="337"/>
      <c r="T21" s="337"/>
      <c r="U21" s="337"/>
      <c r="V21" s="337"/>
      <c r="W21" s="337"/>
      <c r="X21" s="337"/>
    </row>
    <row r="22" spans="1:24" x14ac:dyDescent="0.2">
      <c r="A22" s="364" t="s">
        <v>175</v>
      </c>
      <c r="B22" s="364"/>
      <c r="C22" s="364"/>
      <c r="D22" s="364"/>
      <c r="E22" s="364"/>
      <c r="F22" s="364"/>
      <c r="G22" s="364"/>
      <c r="H22" s="251"/>
      <c r="I22" s="251"/>
      <c r="J22" s="251"/>
      <c r="K22" s="251"/>
    </row>
    <row r="23" spans="1:24" ht="51" x14ac:dyDescent="0.2">
      <c r="A23" s="187" t="s">
        <v>176</v>
      </c>
      <c r="B23" s="188" t="s">
        <v>177</v>
      </c>
      <c r="C23" s="188" t="s">
        <v>178</v>
      </c>
      <c r="D23" s="188" t="s">
        <v>179</v>
      </c>
      <c r="E23" s="188" t="s">
        <v>178</v>
      </c>
      <c r="F23" s="188" t="s">
        <v>180</v>
      </c>
      <c r="G23" s="188" t="s">
        <v>181</v>
      </c>
      <c r="H23" s="288"/>
      <c r="I23" s="288"/>
      <c r="J23" s="288"/>
      <c r="K23" s="288"/>
    </row>
    <row r="24" spans="1:24" x14ac:dyDescent="0.2">
      <c r="A24" s="363" t="s">
        <v>182</v>
      </c>
      <c r="B24" s="363"/>
      <c r="C24" s="363"/>
      <c r="D24" s="363"/>
      <c r="E24" s="363"/>
      <c r="F24" s="363"/>
      <c r="G24" s="363"/>
      <c r="H24" s="251"/>
      <c r="I24" s="251"/>
      <c r="J24" s="251"/>
      <c r="K24" s="251"/>
    </row>
    <row r="25" spans="1:24" x14ac:dyDescent="0.2">
      <c r="A25" s="189"/>
      <c r="B25" s="190"/>
      <c r="C25" s="190"/>
      <c r="D25" s="190"/>
      <c r="E25" s="190"/>
      <c r="F25" s="190"/>
      <c r="G25" s="190"/>
      <c r="H25" s="251"/>
      <c r="I25" s="251"/>
      <c r="J25" s="251"/>
      <c r="K25" s="251"/>
      <c r="P25"/>
      <c r="Q25"/>
    </row>
    <row r="26" spans="1:24" x14ac:dyDescent="0.2">
      <c r="A26" s="192" t="s">
        <v>158</v>
      </c>
      <c r="B26" s="179"/>
      <c r="C26" s="190"/>
      <c r="D26" s="193">
        <f>I62</f>
        <v>240.65892778864173</v>
      </c>
      <c r="E26" s="179"/>
      <c r="F26" s="194">
        <f>I79</f>
        <v>14175.590477940201</v>
      </c>
      <c r="G26" s="190"/>
      <c r="H26" s="251"/>
      <c r="I26" s="251"/>
      <c r="J26" s="251"/>
      <c r="K26" s="251"/>
      <c r="P26"/>
      <c r="Q26"/>
    </row>
    <row r="27" spans="1:24" x14ac:dyDescent="0.2">
      <c r="A27" s="189"/>
      <c r="B27" s="190"/>
      <c r="C27" s="190"/>
      <c r="D27" s="190"/>
      <c r="E27" s="190"/>
      <c r="F27" s="190"/>
      <c r="G27" s="190"/>
      <c r="H27" s="251"/>
      <c r="I27" s="251"/>
      <c r="J27" s="251"/>
      <c r="K27" s="251"/>
      <c r="P27"/>
      <c r="Q27"/>
    </row>
    <row r="28" spans="1:24" x14ac:dyDescent="0.2">
      <c r="A28" s="192">
        <v>2006</v>
      </c>
      <c r="B28" s="195">
        <f>Summary!C10/1000000</f>
        <v>198.48813787</v>
      </c>
      <c r="C28" s="286"/>
      <c r="D28" s="195">
        <f t="shared" ref="D28:D37" si="5">B28*F132</f>
        <v>201.58420592234668</v>
      </c>
      <c r="E28" s="286"/>
      <c r="F28" s="194">
        <f>Summary!C46</f>
        <v>13570.617202616786</v>
      </c>
      <c r="G28" s="190"/>
      <c r="H28" s="251"/>
      <c r="I28" s="251"/>
      <c r="J28" s="251"/>
      <c r="K28" s="251"/>
      <c r="M28" s="191"/>
    </row>
    <row r="29" spans="1:24" x14ac:dyDescent="0.2">
      <c r="A29" s="192">
        <v>2007</v>
      </c>
      <c r="B29" s="195">
        <f>Summary!D10/1000000</f>
        <v>257.56311474</v>
      </c>
      <c r="C29" s="286">
        <f t="shared" ref="C29:C37" si="6">B29-B28</f>
        <v>59.07497687</v>
      </c>
      <c r="D29" s="195">
        <f t="shared" si="5"/>
        <v>253.41907299915871</v>
      </c>
      <c r="E29" s="286">
        <f t="shared" ref="E29:E39" si="7">D29-D28</f>
        <v>51.834867076812031</v>
      </c>
      <c r="F29" s="194">
        <f>Summary!D46</f>
        <v>13655.547544457753</v>
      </c>
      <c r="G29" s="287">
        <f t="shared" ref="G29:G39" si="8">F29-F28</f>
        <v>84.93034184096723</v>
      </c>
      <c r="H29" s="289"/>
      <c r="I29" s="289"/>
      <c r="J29" s="289"/>
      <c r="K29" s="289"/>
      <c r="L29" s="197"/>
    </row>
    <row r="30" spans="1:24" x14ac:dyDescent="0.2">
      <c r="A30" s="192">
        <v>2008</v>
      </c>
      <c r="B30" s="195">
        <f>Summary!E10/1000000</f>
        <v>248.21577031000001</v>
      </c>
      <c r="C30" s="286">
        <f t="shared" si="6"/>
        <v>-9.3473444299999926</v>
      </c>
      <c r="D30" s="195">
        <f t="shared" si="5"/>
        <v>245.98329085582694</v>
      </c>
      <c r="E30" s="286">
        <f t="shared" si="7"/>
        <v>-7.4357821433317781</v>
      </c>
      <c r="F30" s="194">
        <f>Summary!E46</f>
        <v>13696.50737123376</v>
      </c>
      <c r="G30" s="287">
        <f t="shared" si="8"/>
        <v>40.959826776006594</v>
      </c>
      <c r="H30" s="289"/>
      <c r="I30" s="289"/>
      <c r="J30" s="289"/>
      <c r="K30" s="289"/>
    </row>
    <row r="31" spans="1:24" x14ac:dyDescent="0.2">
      <c r="A31" s="192">
        <v>2009</v>
      </c>
      <c r="B31" s="195">
        <f>Summary!F10/1000000</f>
        <v>233.07633152177988</v>
      </c>
      <c r="C31" s="286">
        <f t="shared" si="6"/>
        <v>-15.139438788220133</v>
      </c>
      <c r="D31" s="195">
        <f t="shared" si="5"/>
        <v>238.87743713098749</v>
      </c>
      <c r="E31" s="286">
        <f t="shared" si="7"/>
        <v>-7.1058537248394487</v>
      </c>
      <c r="F31" s="194">
        <f>Summary!F46</f>
        <v>13823</v>
      </c>
      <c r="G31" s="287">
        <f t="shared" si="8"/>
        <v>126.49262876624016</v>
      </c>
      <c r="H31" s="289"/>
      <c r="I31" s="289"/>
      <c r="J31" s="289"/>
      <c r="K31" s="289"/>
    </row>
    <row r="32" spans="1:24" x14ac:dyDescent="0.2">
      <c r="A32" s="192">
        <v>2010</v>
      </c>
      <c r="B32" s="195">
        <f>Summary!G10/1000000</f>
        <v>238.50235982732244</v>
      </c>
      <c r="C32" s="286">
        <f t="shared" si="6"/>
        <v>5.4260283055425589</v>
      </c>
      <c r="D32" s="195">
        <f t="shared" si="5"/>
        <v>234.31815001414424</v>
      </c>
      <c r="E32" s="286">
        <f t="shared" si="7"/>
        <v>-4.5592871168432509</v>
      </c>
      <c r="F32" s="194">
        <f>Summary!G46</f>
        <v>13980.5</v>
      </c>
      <c r="G32" s="287">
        <f t="shared" si="8"/>
        <v>157.5</v>
      </c>
      <c r="H32" s="289"/>
      <c r="I32" s="289"/>
      <c r="J32" s="289"/>
      <c r="K32" s="289"/>
      <c r="L32" s="197"/>
    </row>
    <row r="33" spans="1:12" x14ac:dyDescent="0.2">
      <c r="A33" s="192">
        <v>2011</v>
      </c>
      <c r="B33" s="195">
        <f>Summary!H10/1000000</f>
        <v>241.92863640000002</v>
      </c>
      <c r="C33" s="286">
        <f t="shared" si="6"/>
        <v>3.4262765726775797</v>
      </c>
      <c r="D33" s="195">
        <f t="shared" si="5"/>
        <v>238.80585995542296</v>
      </c>
      <c r="E33" s="286">
        <f t="shared" si="7"/>
        <v>4.4877099412787231</v>
      </c>
      <c r="F33" s="194">
        <f>Summary!H46</f>
        <v>14053.5</v>
      </c>
      <c r="G33" s="287">
        <f t="shared" si="8"/>
        <v>73</v>
      </c>
      <c r="H33" s="289"/>
      <c r="I33" s="289"/>
      <c r="J33" s="289"/>
      <c r="K33" s="289"/>
    </row>
    <row r="34" spans="1:12" x14ac:dyDescent="0.2">
      <c r="A34" s="192">
        <v>2012</v>
      </c>
      <c r="B34" s="195">
        <f>Summary!I10/1000000</f>
        <v>233.35104558096856</v>
      </c>
      <c r="C34" s="286">
        <f t="shared" si="6"/>
        <v>-8.5775908190314567</v>
      </c>
      <c r="D34" s="195">
        <f t="shared" si="5"/>
        <v>233.04048108302723</v>
      </c>
      <c r="E34" s="286">
        <f t="shared" si="7"/>
        <v>-5.7653788723957291</v>
      </c>
      <c r="F34" s="194">
        <f>Summary!I46</f>
        <v>14142.5</v>
      </c>
      <c r="G34" s="287">
        <f t="shared" si="8"/>
        <v>89</v>
      </c>
      <c r="H34" s="289"/>
      <c r="I34" s="289"/>
      <c r="J34" s="289"/>
      <c r="K34" s="289"/>
      <c r="L34" s="197"/>
    </row>
    <row r="35" spans="1:12" x14ac:dyDescent="0.2">
      <c r="A35" s="192">
        <v>2013</v>
      </c>
      <c r="B35" s="195">
        <f>Summary!J10/1000000</f>
        <v>229.73088655255782</v>
      </c>
      <c r="C35" s="286">
        <f>B35-B34</f>
        <v>-3.6201590284107397</v>
      </c>
      <c r="D35" s="195">
        <f t="shared" si="5"/>
        <v>230.50040474313377</v>
      </c>
      <c r="E35" s="286">
        <f>D35-D34</f>
        <v>-2.54007633989346</v>
      </c>
      <c r="F35" s="194">
        <f>Summary!J46</f>
        <v>14229</v>
      </c>
      <c r="G35" s="287">
        <f>F35-F34</f>
        <v>86.5</v>
      </c>
      <c r="H35" s="289"/>
      <c r="I35" s="289"/>
      <c r="J35" s="289"/>
      <c r="K35" s="289"/>
    </row>
    <row r="36" spans="1:12" x14ac:dyDescent="0.2">
      <c r="A36" s="192">
        <v>2014</v>
      </c>
      <c r="B36" s="195">
        <f>Summary!K10/1000000</f>
        <v>230.94288750000001</v>
      </c>
      <c r="C36" s="286">
        <f t="shared" si="6"/>
        <v>1.212000947442192</v>
      </c>
      <c r="D36" s="195">
        <f t="shared" si="5"/>
        <v>231.78640086942917</v>
      </c>
      <c r="E36" s="286">
        <f t="shared" si="7"/>
        <v>1.2859961262954016</v>
      </c>
      <c r="F36" s="194">
        <f>Summary!K46</f>
        <v>14316.5</v>
      </c>
      <c r="G36" s="287">
        <f t="shared" si="8"/>
        <v>87.5</v>
      </c>
      <c r="H36" s="289"/>
      <c r="I36" s="289"/>
      <c r="J36" s="289"/>
      <c r="K36" s="289"/>
      <c r="L36" s="197"/>
    </row>
    <row r="37" spans="1:12" x14ac:dyDescent="0.2">
      <c r="A37" s="192">
        <v>2015</v>
      </c>
      <c r="B37" s="195">
        <f>Summary!L10/1000000</f>
        <v>232.50251732197464</v>
      </c>
      <c r="C37" s="286">
        <f t="shared" si="6"/>
        <v>1.5596298219746245</v>
      </c>
      <c r="D37" s="195">
        <f t="shared" si="5"/>
        <v>235.73818936956033</v>
      </c>
      <c r="E37" s="286">
        <f t="shared" si="7"/>
        <v>3.9517885001311583</v>
      </c>
      <c r="F37" s="194">
        <f>Summary!L46</f>
        <v>14398.5</v>
      </c>
      <c r="G37" s="287">
        <f t="shared" si="8"/>
        <v>82</v>
      </c>
      <c r="H37" s="289"/>
      <c r="I37" s="289"/>
      <c r="J37" s="289"/>
      <c r="K37" s="289"/>
    </row>
    <row r="38" spans="1:12" ht="12.75" customHeight="1" x14ac:dyDescent="0.2">
      <c r="A38" s="181" t="s">
        <v>183</v>
      </c>
      <c r="B38" s="179"/>
      <c r="C38" s="196"/>
      <c r="D38" s="195">
        <f>Summary!M10/1000000</f>
        <v>233.10573722604215</v>
      </c>
      <c r="E38" s="286">
        <f t="shared" si="7"/>
        <v>-2.6324521435181794</v>
      </c>
      <c r="F38" s="194">
        <f>Summary!M46</f>
        <v>14498.66364280555</v>
      </c>
      <c r="G38" s="287">
        <f t="shared" si="8"/>
        <v>100.1636428055499</v>
      </c>
      <c r="H38" s="289"/>
      <c r="I38" s="289"/>
      <c r="J38" s="289"/>
      <c r="K38" s="289"/>
      <c r="L38" s="197"/>
    </row>
    <row r="39" spans="1:12" x14ac:dyDescent="0.2">
      <c r="A39" s="192" t="s">
        <v>184</v>
      </c>
      <c r="B39" s="179"/>
      <c r="C39" s="196"/>
      <c r="D39" s="195">
        <f>Summary!N10/1000000</f>
        <v>229.75289387397908</v>
      </c>
      <c r="E39" s="286">
        <f t="shared" si="7"/>
        <v>-3.3528433520630756</v>
      </c>
      <c r="F39" s="194">
        <f>Summary!N46</f>
        <v>14599.730815848385</v>
      </c>
      <c r="G39" s="287">
        <f t="shared" si="8"/>
        <v>101.06717304283484</v>
      </c>
      <c r="H39" s="289"/>
      <c r="I39" s="340">
        <f>F39/F26-1</f>
        <v>2.9920470584151149E-2</v>
      </c>
      <c r="J39" s="289"/>
      <c r="K39" s="289"/>
      <c r="L39" s="197"/>
    </row>
    <row r="40" spans="1:12" x14ac:dyDescent="0.2">
      <c r="L40" s="197"/>
    </row>
    <row r="41" spans="1:12" x14ac:dyDescent="0.2">
      <c r="A41" s="198" t="s">
        <v>185</v>
      </c>
      <c r="B41" s="198"/>
      <c r="C41" s="198"/>
      <c r="D41" s="198"/>
    </row>
    <row r="42" spans="1:12" ht="38.25" x14ac:dyDescent="0.2">
      <c r="A42" s="199" t="s">
        <v>176</v>
      </c>
      <c r="B42" s="200" t="str">
        <f>Summary!A13</f>
        <v>Residential</v>
      </c>
      <c r="C42" s="200" t="str">
        <f>Summary!A17</f>
        <v>GS&lt;50</v>
      </c>
      <c r="D42" s="200" t="str">
        <f>Summary!A21</f>
        <v>GS&gt;50</v>
      </c>
      <c r="E42" s="200" t="s">
        <v>288</v>
      </c>
      <c r="F42" s="200" t="str">
        <f>Summary!A31</f>
        <v>Unmetered Scattered Load</v>
      </c>
      <c r="G42" s="200" t="str">
        <f>Summary!A35</f>
        <v>Sentinel Lights</v>
      </c>
      <c r="H42" s="200" t="s">
        <v>289</v>
      </c>
      <c r="I42" s="200" t="s">
        <v>11</v>
      </c>
    </row>
    <row r="43" spans="1:12" ht="14.25" customHeight="1" x14ac:dyDescent="0.2">
      <c r="A43" s="380" t="s">
        <v>186</v>
      </c>
      <c r="B43" s="381"/>
      <c r="C43" s="381"/>
      <c r="D43" s="381"/>
      <c r="E43" s="381"/>
      <c r="F43" s="381"/>
      <c r="G43" s="381"/>
      <c r="H43" s="381"/>
      <c r="I43" s="382"/>
    </row>
    <row r="44" spans="1:12" x14ac:dyDescent="0.2">
      <c r="A44" s="204">
        <f t="shared" ref="A44:A53" si="9">A28</f>
        <v>2006</v>
      </c>
      <c r="B44" s="195">
        <f>Summary!C15/1000000</f>
        <v>91.182112000000004</v>
      </c>
      <c r="C44" s="195">
        <f>Summary!C19/1000000</f>
        <v>27.522033</v>
      </c>
      <c r="D44" s="195">
        <f>Summary!C23/1000000</f>
        <v>77.078800999999999</v>
      </c>
      <c r="E44" s="195">
        <f>Summary!C28/1000000</f>
        <v>2.2496648700000001</v>
      </c>
      <c r="F44" s="195">
        <f>Summary!C33/1000000</f>
        <v>0.26796399999999998</v>
      </c>
      <c r="G44" s="292">
        <f>Summary!C37/1000000</f>
        <v>0.18756300000000001</v>
      </c>
      <c r="H44" s="195"/>
      <c r="I44" s="195">
        <f>SUM(B44:H44)</f>
        <v>198.48813787000003</v>
      </c>
      <c r="J44" s="293"/>
      <c r="K44" s="293"/>
      <c r="L44"/>
    </row>
    <row r="45" spans="1:12" ht="12.75" customHeight="1" x14ac:dyDescent="0.2">
      <c r="A45" s="204">
        <f t="shared" si="9"/>
        <v>2007</v>
      </c>
      <c r="B45" s="195">
        <f>Summary!D15/1000000</f>
        <v>93.919803000000002</v>
      </c>
      <c r="C45" s="195">
        <f>Summary!D19/1000000</f>
        <v>27.486362</v>
      </c>
      <c r="D45" s="195">
        <f>Summary!D23/1000000</f>
        <v>70.538573</v>
      </c>
      <c r="E45" s="195">
        <f>Summary!D28/1000000</f>
        <v>2.4096179800000002</v>
      </c>
      <c r="F45" s="195">
        <f>Summary!D33/1000000</f>
        <v>0.428118</v>
      </c>
      <c r="G45" s="292">
        <f>Summary!D37/1000000</f>
        <v>0.18280199999999999</v>
      </c>
      <c r="H45" s="195">
        <f>Summary!D42/1000000</f>
        <v>62.597838759999988</v>
      </c>
      <c r="I45" s="195">
        <f t="shared" ref="I45:I53" si="10">SUM(B45:H45)</f>
        <v>257.56311474</v>
      </c>
      <c r="J45" s="293"/>
      <c r="K45" s="293"/>
      <c r="L45"/>
    </row>
    <row r="46" spans="1:12" x14ac:dyDescent="0.2">
      <c r="A46" s="204">
        <f t="shared" si="9"/>
        <v>2008</v>
      </c>
      <c r="B46" s="195">
        <f>Summary!E15/1000000</f>
        <v>91.598923999999997</v>
      </c>
      <c r="C46" s="195">
        <f>Summary!E19/1000000</f>
        <v>27.305136000000001</v>
      </c>
      <c r="D46" s="195">
        <f>Summary!E23/1000000</f>
        <v>71.763588999999996</v>
      </c>
      <c r="E46" s="195">
        <f>Summary!E28/1000000</f>
        <v>2.2960585899999999</v>
      </c>
      <c r="F46" s="195">
        <f>Summary!E33/1000000</f>
        <v>0.29394700000000001</v>
      </c>
      <c r="G46" s="292">
        <f>Summary!E37/1000000</f>
        <v>9.3339000000000005E-2</v>
      </c>
      <c r="H46" s="195">
        <f>Summary!E42/1000000</f>
        <v>54.864776720000009</v>
      </c>
      <c r="I46" s="195">
        <f t="shared" si="10"/>
        <v>248.21577030999998</v>
      </c>
      <c r="J46" s="293"/>
      <c r="K46" s="293"/>
      <c r="L46"/>
    </row>
    <row r="47" spans="1:12" x14ac:dyDescent="0.2">
      <c r="A47" s="204">
        <f t="shared" si="9"/>
        <v>2009</v>
      </c>
      <c r="B47" s="195">
        <f>Summary!F15/1000000</f>
        <v>89.480941999999999</v>
      </c>
      <c r="C47" s="195">
        <f>Summary!F19/1000000</f>
        <v>27.046724999999999</v>
      </c>
      <c r="D47" s="195">
        <f>Summary!F23/1000000</f>
        <v>63.032184000000001</v>
      </c>
      <c r="E47" s="195">
        <f>Summary!F28/1000000</f>
        <v>2.0823930000000002</v>
      </c>
      <c r="F47" s="195">
        <f>Summary!F33/1000000</f>
        <v>0.28545599999999999</v>
      </c>
      <c r="G47" s="292">
        <f>Summary!F37/1000000</f>
        <v>5.085612177985948E-2</v>
      </c>
      <c r="H47" s="195">
        <f>Summary!F42/1000000</f>
        <v>51.097775399999996</v>
      </c>
      <c r="I47" s="195">
        <f t="shared" si="10"/>
        <v>233.07633152177985</v>
      </c>
      <c r="J47" s="293"/>
      <c r="K47" s="293"/>
    </row>
    <row r="48" spans="1:12" x14ac:dyDescent="0.2">
      <c r="A48" s="204">
        <f t="shared" si="9"/>
        <v>2010</v>
      </c>
      <c r="B48" s="195">
        <f>Summary!G15/1000000</f>
        <v>94.261083999999997</v>
      </c>
      <c r="C48" s="195">
        <f>Summary!G19/1000000</f>
        <v>27.843389999999999</v>
      </c>
      <c r="D48" s="195">
        <f>Summary!G23/1000000</f>
        <v>65.599182999999996</v>
      </c>
      <c r="E48" s="195">
        <f>Summary!G28/1000000</f>
        <v>2.409951</v>
      </c>
      <c r="F48" s="195">
        <f>Summary!G33/1000000</f>
        <v>0.27551300000000001</v>
      </c>
      <c r="G48" s="292">
        <f>Summary!G37/1000000</f>
        <v>1.8862527322404371E-2</v>
      </c>
      <c r="H48" s="195">
        <f>Summary!G42/1000000</f>
        <v>48.0943763</v>
      </c>
      <c r="I48" s="195">
        <f t="shared" si="10"/>
        <v>238.50235982732238</v>
      </c>
      <c r="J48" s="293"/>
      <c r="K48" s="293"/>
      <c r="L48"/>
    </row>
    <row r="49" spans="1:12" x14ac:dyDescent="0.2">
      <c r="A49" s="204">
        <f t="shared" si="9"/>
        <v>2011</v>
      </c>
      <c r="B49" s="195">
        <f>Summary!H15/1000000</f>
        <v>91.775630000000007</v>
      </c>
      <c r="C49" s="195">
        <f>Summary!H19/1000000</f>
        <v>30.635475</v>
      </c>
      <c r="D49" s="195">
        <f>Summary!H23/1000000</f>
        <v>64.324224000000001</v>
      </c>
      <c r="E49" s="195">
        <f>Summary!H28/1000000</f>
        <v>2.245234</v>
      </c>
      <c r="F49" s="195">
        <f>Summary!H33/1000000</f>
        <v>0.20169599999999999</v>
      </c>
      <c r="G49" s="292">
        <f>Summary!H37/1000000</f>
        <v>5.9620000000000003E-3</v>
      </c>
      <c r="H49" s="195">
        <f>Summary!H42/1000000</f>
        <v>52.740415399999996</v>
      </c>
      <c r="I49" s="195">
        <f t="shared" si="10"/>
        <v>241.92863640000002</v>
      </c>
      <c r="J49" s="293"/>
      <c r="K49" s="293"/>
      <c r="L49"/>
    </row>
    <row r="50" spans="1:12" x14ac:dyDescent="0.2">
      <c r="A50" s="204">
        <f t="shared" si="9"/>
        <v>2012</v>
      </c>
      <c r="B50" s="195">
        <f>Summary!I15/1000000</f>
        <v>90.281487999999996</v>
      </c>
      <c r="C50" s="195">
        <f>Summary!I19/1000000</f>
        <v>29.408826000000001</v>
      </c>
      <c r="D50" s="195">
        <f>Summary!I23/1000000</f>
        <v>60.934472188461378</v>
      </c>
      <c r="E50" s="195">
        <f>Summary!I28/1000000</f>
        <v>2.3463774925071768</v>
      </c>
      <c r="F50" s="195">
        <f>Summary!I33/1000000</f>
        <v>0.26222899999999999</v>
      </c>
      <c r="G50" s="292">
        <f>Summary!I37/1000000</f>
        <v>5.9620000000000003E-3</v>
      </c>
      <c r="H50" s="195">
        <f>Summary!I42/1000000</f>
        <v>50.111690900000006</v>
      </c>
      <c r="I50" s="195">
        <f t="shared" si="10"/>
        <v>233.35104558096856</v>
      </c>
      <c r="J50" s="293"/>
      <c r="K50" s="293"/>
      <c r="L50"/>
    </row>
    <row r="51" spans="1:12" x14ac:dyDescent="0.2">
      <c r="A51" s="204">
        <f t="shared" si="9"/>
        <v>2013</v>
      </c>
      <c r="B51" s="195">
        <f>Summary!J15/1000000</f>
        <v>88.791227000000006</v>
      </c>
      <c r="C51" s="195">
        <f>Summary!J19/1000000</f>
        <v>28.921438999999999</v>
      </c>
      <c r="D51" s="195">
        <f>Summary!J23/1000000</f>
        <v>59.427521597267791</v>
      </c>
      <c r="E51" s="195">
        <f>Summary!J28/1000000</f>
        <v>2.5128979552900312</v>
      </c>
      <c r="F51" s="195">
        <f>Summary!J33/1000000</f>
        <v>0.26059700000000002</v>
      </c>
      <c r="G51" s="292">
        <f>Summary!J37/1000000</f>
        <v>5.9620000000000003E-3</v>
      </c>
      <c r="H51" s="195">
        <f>Summary!J42/1000000</f>
        <v>49.811242</v>
      </c>
      <c r="I51" s="195">
        <f t="shared" si="10"/>
        <v>229.73088655255785</v>
      </c>
      <c r="J51" s="293"/>
      <c r="K51" s="293"/>
      <c r="L51"/>
    </row>
    <row r="52" spans="1:12" x14ac:dyDescent="0.2">
      <c r="A52" s="204">
        <f t="shared" si="9"/>
        <v>2014</v>
      </c>
      <c r="B52" s="195">
        <f>Summary!K15/1000000</f>
        <v>89.130958000000007</v>
      </c>
      <c r="C52" s="195">
        <f>Summary!K19/1000000</f>
        <v>29.746583999999999</v>
      </c>
      <c r="D52" s="195">
        <f>Summary!K23/1000000</f>
        <v>57.346380000000003</v>
      </c>
      <c r="E52" s="195">
        <f>Summary!K28/1000000</f>
        <v>2.3020930000000002</v>
      </c>
      <c r="F52" s="195">
        <f>Summary!K33/1000000</f>
        <v>0.25967699999999999</v>
      </c>
      <c r="G52" s="292">
        <f>Summary!K37/1000000</f>
        <v>5.9620000000000003E-3</v>
      </c>
      <c r="H52" s="195">
        <f>Summary!K42/1000000</f>
        <v>52.151233499999996</v>
      </c>
      <c r="I52" s="195">
        <f t="shared" si="10"/>
        <v>230.94288750000004</v>
      </c>
      <c r="J52" s="293"/>
      <c r="K52" s="293"/>
      <c r="L52"/>
    </row>
    <row r="53" spans="1:12" x14ac:dyDescent="0.2">
      <c r="A53" s="204">
        <f t="shared" si="9"/>
        <v>2015</v>
      </c>
      <c r="B53" s="195">
        <f>Summary!L15/1000000</f>
        <v>90.749018000000007</v>
      </c>
      <c r="C53" s="195">
        <f>Summary!L19/1000000</f>
        <v>28.622002999999999</v>
      </c>
      <c r="D53" s="195">
        <f>Summary!L23/1000000</f>
        <v>62.304426670519007</v>
      </c>
      <c r="E53" s="195">
        <f>Summary!L28/1000000</f>
        <v>2.3682885914556526</v>
      </c>
      <c r="F53" s="195">
        <f>Summary!L33/1000000</f>
        <v>0.25960699999999998</v>
      </c>
      <c r="G53" s="292">
        <f>Summary!L37/1000000</f>
        <v>5.9620000000000003E-3</v>
      </c>
      <c r="H53" s="195">
        <f>Summary!L42/1000000</f>
        <v>48.19321206</v>
      </c>
      <c r="I53" s="195">
        <f t="shared" si="10"/>
        <v>232.50251732197469</v>
      </c>
      <c r="J53" s="293"/>
      <c r="K53" s="293"/>
      <c r="L53"/>
    </row>
    <row r="54" spans="1:12" x14ac:dyDescent="0.2">
      <c r="A54" s="201" t="s">
        <v>187</v>
      </c>
      <c r="B54" s="202"/>
      <c r="C54" s="202"/>
      <c r="D54" s="202"/>
      <c r="E54" s="202"/>
      <c r="F54" s="202"/>
      <c r="H54" s="290"/>
      <c r="I54" s="203"/>
      <c r="L54" s="206"/>
    </row>
    <row r="55" spans="1:12" x14ac:dyDescent="0.2">
      <c r="A55" s="204">
        <f t="shared" ref="A55:A61" si="11">A44</f>
        <v>2006</v>
      </c>
      <c r="B55" s="193">
        <f t="shared" ref="B55:B61" si="12">B44*F132</f>
        <v>92.604393587898187</v>
      </c>
      <c r="C55" s="193">
        <f t="shared" ref="C55:C61" si="13">C44*F132</f>
        <v>27.951328614444929</v>
      </c>
      <c r="D55" s="193">
        <f t="shared" ref="D55:D61" si="14">D44*F132</f>
        <v>78.281095584705042</v>
      </c>
      <c r="E55" s="193">
        <f t="shared" ref="E55:E61" si="15">E44*F132</f>
        <v>2.2847557102246965</v>
      </c>
      <c r="F55" s="193">
        <f t="shared" ref="F55:F61" si="16">F44*F132</f>
        <v>0.27214377007836305</v>
      </c>
      <c r="G55" s="294">
        <f t="shared" ref="G55:G61" si="17">G44*F132</f>
        <v>0.19048865499547704</v>
      </c>
      <c r="H55" s="193"/>
      <c r="I55" s="195">
        <f>SUM(B55:H55)</f>
        <v>201.58420592234671</v>
      </c>
      <c r="J55" s="205"/>
      <c r="K55" s="205"/>
    </row>
    <row r="56" spans="1:12" x14ac:dyDescent="0.2">
      <c r="A56" s="204">
        <f t="shared" si="11"/>
        <v>2007</v>
      </c>
      <c r="B56" s="193">
        <f t="shared" si="12"/>
        <v>92.40868762031343</v>
      </c>
      <c r="C56" s="193">
        <f t="shared" si="13"/>
        <v>27.044122312275864</v>
      </c>
      <c r="D56" s="193">
        <f t="shared" si="14"/>
        <v>69.403648105391312</v>
      </c>
      <c r="E56" s="193">
        <f t="shared" si="15"/>
        <v>2.3708486185614195</v>
      </c>
      <c r="F56" s="193">
        <f t="shared" si="16"/>
        <v>0.42122982867237641</v>
      </c>
      <c r="G56" s="294">
        <f t="shared" si="17"/>
        <v>0.17986082141131124</v>
      </c>
      <c r="H56" s="193">
        <f t="shared" ref="H56:H61" si="18">H45*F133</f>
        <v>61.59067569253299</v>
      </c>
      <c r="I56" s="195">
        <f t="shared" ref="I56:I64" si="19">SUM(B56:H56)</f>
        <v>253.41907299915869</v>
      </c>
      <c r="J56" s="205"/>
      <c r="K56" s="205"/>
    </row>
    <row r="57" spans="1:12" x14ac:dyDescent="0.2">
      <c r="A57" s="204">
        <f t="shared" si="11"/>
        <v>2008</v>
      </c>
      <c r="B57" s="193">
        <f t="shared" si="12"/>
        <v>90.775073381649008</v>
      </c>
      <c r="C57" s="193">
        <f t="shared" si="13"/>
        <v>27.059550656904072</v>
      </c>
      <c r="D57" s="193">
        <f t="shared" si="14"/>
        <v>71.118139527550554</v>
      </c>
      <c r="E57" s="193">
        <f t="shared" si="15"/>
        <v>2.2754075909867186</v>
      </c>
      <c r="F57" s="193">
        <f t="shared" si="16"/>
        <v>0.29130320892541905</v>
      </c>
      <c r="G57" s="294">
        <f t="shared" si="17"/>
        <v>9.2499498950115805E-2</v>
      </c>
      <c r="H57" s="193">
        <f t="shared" si="18"/>
        <v>54.37131699086104</v>
      </c>
      <c r="I57" s="195">
        <f t="shared" si="19"/>
        <v>245.98329085582691</v>
      </c>
      <c r="J57" s="205"/>
      <c r="K57" s="205"/>
    </row>
    <row r="58" spans="1:12" x14ac:dyDescent="0.2">
      <c r="A58" s="204">
        <f t="shared" si="11"/>
        <v>2009</v>
      </c>
      <c r="B58" s="193">
        <f t="shared" si="12"/>
        <v>91.708059576307278</v>
      </c>
      <c r="C58" s="193">
        <f t="shared" si="13"/>
        <v>27.719898921537947</v>
      </c>
      <c r="D58" s="193">
        <f t="shared" si="14"/>
        <v>64.601010631926101</v>
      </c>
      <c r="E58" s="193">
        <f t="shared" si="15"/>
        <v>2.1342222940085418</v>
      </c>
      <c r="F58" s="193">
        <f t="shared" si="16"/>
        <v>0.29256079863815437</v>
      </c>
      <c r="G58" s="294">
        <f t="shared" si="17"/>
        <v>5.2121894805346278E-2</v>
      </c>
      <c r="H58" s="193">
        <f t="shared" si="18"/>
        <v>52.369563013764079</v>
      </c>
      <c r="I58" s="195">
        <f t="shared" si="19"/>
        <v>238.87743713098746</v>
      </c>
      <c r="J58" s="205"/>
      <c r="K58" s="205"/>
    </row>
    <row r="59" spans="1:12" x14ac:dyDescent="0.2">
      <c r="A59" s="204">
        <f t="shared" si="11"/>
        <v>2010</v>
      </c>
      <c r="B59" s="193">
        <f t="shared" si="12"/>
        <v>92.607397416105528</v>
      </c>
      <c r="C59" s="193">
        <f t="shared" si="13"/>
        <v>27.354914390138124</v>
      </c>
      <c r="D59" s="193">
        <f t="shared" si="14"/>
        <v>64.448331723543859</v>
      </c>
      <c r="E59" s="193">
        <f t="shared" si="15"/>
        <v>2.3676715834324686</v>
      </c>
      <c r="F59" s="193">
        <f t="shared" si="16"/>
        <v>0.27067948724527169</v>
      </c>
      <c r="G59" s="294">
        <f t="shared" si="17"/>
        <v>1.8531609121088088E-2</v>
      </c>
      <c r="H59" s="193">
        <f t="shared" si="18"/>
        <v>47.250623804557847</v>
      </c>
      <c r="I59" s="195">
        <f t="shared" si="19"/>
        <v>234.31815001414418</v>
      </c>
      <c r="J59" s="205"/>
      <c r="K59" s="205"/>
    </row>
    <row r="60" spans="1:12" x14ac:dyDescent="0.2">
      <c r="A60" s="204">
        <f t="shared" si="11"/>
        <v>2011</v>
      </c>
      <c r="B60" s="193">
        <f t="shared" si="12"/>
        <v>90.59100473275231</v>
      </c>
      <c r="C60" s="193">
        <f t="shared" si="13"/>
        <v>30.240037150549824</v>
      </c>
      <c r="D60" s="193">
        <f t="shared" si="14"/>
        <v>63.493937124862228</v>
      </c>
      <c r="E60" s="193">
        <f t="shared" si="15"/>
        <v>2.2162528758466316</v>
      </c>
      <c r="F60" s="193">
        <f t="shared" si="16"/>
        <v>0.19909254004115481</v>
      </c>
      <c r="G60" s="294">
        <f t="shared" si="17"/>
        <v>5.8850434501693891E-3</v>
      </c>
      <c r="H60" s="193">
        <f t="shared" si="18"/>
        <v>52.059650487920621</v>
      </c>
      <c r="I60" s="195">
        <f t="shared" si="19"/>
        <v>238.80585995542293</v>
      </c>
      <c r="J60" s="205"/>
      <c r="K60" s="205"/>
    </row>
    <row r="61" spans="1:12" x14ac:dyDescent="0.2">
      <c r="A61" s="204">
        <f t="shared" si="11"/>
        <v>2012</v>
      </c>
      <c r="B61" s="193">
        <f t="shared" si="12"/>
        <v>90.161333299495837</v>
      </c>
      <c r="C61" s="193">
        <f t="shared" si="13"/>
        <v>29.369686097031089</v>
      </c>
      <c r="D61" s="193">
        <f t="shared" si="14"/>
        <v>60.8533751283843</v>
      </c>
      <c r="E61" s="193">
        <f t="shared" si="15"/>
        <v>2.3432547229214351</v>
      </c>
      <c r="F61" s="193">
        <f t="shared" si="16"/>
        <v>0.26188000213059726</v>
      </c>
      <c r="G61" s="294">
        <f t="shared" si="17"/>
        <v>5.9540652357390721E-3</v>
      </c>
      <c r="H61" s="193">
        <f t="shared" si="18"/>
        <v>50.044997767828249</v>
      </c>
      <c r="I61" s="195">
        <f t="shared" si="19"/>
        <v>233.04048108302723</v>
      </c>
      <c r="J61" s="205"/>
      <c r="K61" s="205"/>
    </row>
    <row r="62" spans="1:12" x14ac:dyDescent="0.2">
      <c r="A62" s="192" t="str">
        <f>A26</f>
        <v>2012 Board Approved</v>
      </c>
      <c r="B62" s="193">
        <v>95.979438068175142</v>
      </c>
      <c r="C62" s="193">
        <v>32.594961595119237</v>
      </c>
      <c r="D62" s="193">
        <v>66.668106413480402</v>
      </c>
      <c r="E62" s="193">
        <v>2.2250838466967555</v>
      </c>
      <c r="F62" s="193">
        <v>0.18899141556900551</v>
      </c>
      <c r="G62" s="294">
        <v>5.5642966477781894E-3</v>
      </c>
      <c r="H62" s="193">
        <v>42.996782152953436</v>
      </c>
      <c r="I62" s="195">
        <f t="shared" si="19"/>
        <v>240.65892778864173</v>
      </c>
      <c r="J62" s="205"/>
      <c r="K62" s="205"/>
    </row>
    <row r="63" spans="1:12" x14ac:dyDescent="0.2">
      <c r="A63" s="204">
        <f>A51</f>
        <v>2013</v>
      </c>
      <c r="B63" s="193">
        <f>B51*F139</f>
        <v>89.088646582387881</v>
      </c>
      <c r="C63" s="193">
        <f>C51*F139</f>
        <v>29.018315714063611</v>
      </c>
      <c r="D63" s="193">
        <f>D51*F139</f>
        <v>59.626583027692732</v>
      </c>
      <c r="E63" s="193">
        <f>E51*F139</f>
        <v>2.5213152853089724</v>
      </c>
      <c r="F63" s="193">
        <f>F51*F139</f>
        <v>0.26146990888447275</v>
      </c>
      <c r="G63" s="294">
        <f>G51*F139</f>
        <v>5.9819706165812588E-3</v>
      </c>
      <c r="H63" s="193">
        <f>H51*F139</f>
        <v>49.978092254179515</v>
      </c>
      <c r="I63" s="195">
        <f t="shared" si="19"/>
        <v>230.50040474313374</v>
      </c>
      <c r="J63" s="205"/>
      <c r="K63" s="205"/>
    </row>
    <row r="64" spans="1:12" x14ac:dyDescent="0.2">
      <c r="A64" s="204">
        <f>A52</f>
        <v>2014</v>
      </c>
      <c r="B64" s="193">
        <f>B52*F140</f>
        <v>89.45650669092052</v>
      </c>
      <c r="C64" s="193">
        <f>C52*F140</f>
        <v>29.855232686133913</v>
      </c>
      <c r="D64" s="193">
        <f>D52*F140</f>
        <v>57.555836280476989</v>
      </c>
      <c r="E64" s="193">
        <f>E52*F140</f>
        <v>2.3105013395864242</v>
      </c>
      <c r="F64" s="193">
        <f>F52*F140</f>
        <v>0.26062546402764086</v>
      </c>
      <c r="G64" s="294">
        <f>G52*F140</f>
        <v>5.9837760623112357E-3</v>
      </c>
      <c r="H64" s="193">
        <f>H52*F140</f>
        <v>52.341714632221368</v>
      </c>
      <c r="I64" s="195">
        <f t="shared" si="19"/>
        <v>231.7864008694292</v>
      </c>
      <c r="J64" s="205"/>
      <c r="K64" s="205"/>
    </row>
    <row r="65" spans="1:12" x14ac:dyDescent="0.2">
      <c r="A65" s="204">
        <f>A53</f>
        <v>2015</v>
      </c>
      <c r="B65" s="193">
        <f>B53*F141</f>
        <v>92.011946523400979</v>
      </c>
      <c r="C65" s="193">
        <f>C53*F141</f>
        <v>29.020327354160706</v>
      </c>
      <c r="D65" s="193">
        <f>D53*F141</f>
        <v>63.171499828008628</v>
      </c>
      <c r="E65" s="193">
        <f>E53*F141</f>
        <v>2.40124739673765</v>
      </c>
      <c r="F65" s="193">
        <f>F53*F141</f>
        <v>0.26321987749884584</v>
      </c>
      <c r="G65" s="294">
        <f>G53*F141</f>
        <v>6.0449714747603835E-3</v>
      </c>
      <c r="H65" s="193">
        <f>H53*F141</f>
        <v>48.863903418278781</v>
      </c>
      <c r="I65" s="195">
        <f>SUM(B65:H65)</f>
        <v>235.73818936956036</v>
      </c>
      <c r="J65" s="205"/>
      <c r="K65" s="205"/>
    </row>
    <row r="66" spans="1:12" ht="15" customHeight="1" x14ac:dyDescent="0.2">
      <c r="A66" s="207" t="str">
        <f>A38</f>
        <v>2016 Bridge</v>
      </c>
      <c r="B66" s="195">
        <f>Summary!M15/1000000</f>
        <v>92.479879620842169</v>
      </c>
      <c r="C66" s="195">
        <f>Summary!M19/1000000</f>
        <v>29.223413333587732</v>
      </c>
      <c r="D66" s="195">
        <f>Summary!M23/1000000</f>
        <v>62.116820189978789</v>
      </c>
      <c r="E66" s="193">
        <f>Summary!M28/1000000</f>
        <v>2.3741639315875083</v>
      </c>
      <c r="F66" s="193">
        <f>Summary!M33/1000000</f>
        <v>0.26220668799682556</v>
      </c>
      <c r="G66" s="294">
        <f>Summary!M37/1000000</f>
        <v>5.9620000000000003E-3</v>
      </c>
      <c r="H66" s="193">
        <f>Summary!M42/1000000</f>
        <v>46.643291462049106</v>
      </c>
      <c r="I66" s="195">
        <f t="shared" ref="I66:I67" si="20">SUM(B66:H66)</f>
        <v>233.10573722604215</v>
      </c>
      <c r="J66"/>
      <c r="K66"/>
    </row>
    <row r="67" spans="1:12" x14ac:dyDescent="0.2">
      <c r="A67" s="207" t="str">
        <f>A39</f>
        <v>2017 Test</v>
      </c>
      <c r="B67" s="195">
        <f>Summary!N15/1000000</f>
        <v>92.079767015226622</v>
      </c>
      <c r="C67" s="195">
        <f>Summary!N19/1000000</f>
        <v>29.137273513669658</v>
      </c>
      <c r="D67" s="195">
        <f>Summary!N23/1000000</f>
        <v>60.741787912906595</v>
      </c>
      <c r="E67" s="193">
        <f>Summary!N28/1000000</f>
        <v>2.3800538474859283</v>
      </c>
      <c r="F67" s="193">
        <f>Summary!N33/1000000</f>
        <v>0.26483240910400957</v>
      </c>
      <c r="G67" s="294">
        <f>Summary!N37/1000000</f>
        <v>5.9620000000000003E-3</v>
      </c>
      <c r="H67" s="193">
        <f>Summary!N42/1000000</f>
        <v>45.143217175586258</v>
      </c>
      <c r="I67" s="195">
        <f t="shared" si="20"/>
        <v>229.75289387397908</v>
      </c>
      <c r="J67"/>
      <c r="K67"/>
    </row>
    <row r="68" spans="1:12" x14ac:dyDescent="0.2">
      <c r="A68" s="208"/>
      <c r="B68" s="209"/>
      <c r="C68" s="209"/>
      <c r="D68" s="209"/>
      <c r="E68" s="210"/>
      <c r="F68" s="209"/>
      <c r="G68" s="209"/>
      <c r="H68" s="209"/>
      <c r="I68" s="209"/>
      <c r="J68" s="209"/>
      <c r="K68" s="209"/>
      <c r="L68" s="205"/>
    </row>
    <row r="69" spans="1:12" x14ac:dyDescent="0.2">
      <c r="A69" s="364" t="s">
        <v>188</v>
      </c>
      <c r="B69" s="364"/>
      <c r="C69" s="364"/>
      <c r="D69" s="364"/>
      <c r="E69" s="364"/>
      <c r="F69" s="364"/>
      <c r="G69" s="364"/>
      <c r="H69" s="364"/>
      <c r="I69" s="364"/>
      <c r="J69" s="251"/>
      <c r="K69" s="251"/>
    </row>
    <row r="70" spans="1:12" x14ac:dyDescent="0.2">
      <c r="A70" s="363" t="s">
        <v>189</v>
      </c>
      <c r="B70" s="363"/>
      <c r="C70" s="363"/>
      <c r="D70" s="363"/>
      <c r="E70" s="363"/>
      <c r="F70" s="363"/>
      <c r="G70" s="363"/>
      <c r="H70" s="363"/>
      <c r="I70" s="363"/>
      <c r="J70" s="251"/>
      <c r="K70" s="251"/>
    </row>
    <row r="71" spans="1:12" ht="38.25" x14ac:dyDescent="0.2">
      <c r="A71" s="199" t="str">
        <f t="shared" ref="A71:I71" si="21">A42</f>
        <v>Year</v>
      </c>
      <c r="B71" s="200" t="str">
        <f t="shared" si="21"/>
        <v>Residential</v>
      </c>
      <c r="C71" s="200" t="str">
        <f t="shared" si="21"/>
        <v>GS&lt;50</v>
      </c>
      <c r="D71" s="200" t="str">
        <f t="shared" si="21"/>
        <v>GS&gt;50</v>
      </c>
      <c r="E71" s="200" t="str">
        <f t="shared" si="21"/>
        <v>Street 
Lights</v>
      </c>
      <c r="F71" s="200" t="str">
        <f t="shared" si="21"/>
        <v>Unmetered Scattered Load</v>
      </c>
      <c r="G71" s="200" t="str">
        <f t="shared" si="21"/>
        <v>Sentinel Lights</v>
      </c>
      <c r="H71" s="200" t="str">
        <f t="shared" si="21"/>
        <v>Embedded Distributor</v>
      </c>
      <c r="I71" s="200" t="str">
        <f t="shared" si="21"/>
        <v>Total</v>
      </c>
      <c r="J71" s="230"/>
      <c r="K71" s="230"/>
    </row>
    <row r="72" spans="1:12" x14ac:dyDescent="0.2">
      <c r="A72" s="204">
        <f t="shared" ref="A72:A78" si="22">A44</f>
        <v>2006</v>
      </c>
      <c r="B72" s="211">
        <f>Summary!C14</f>
        <v>9496.8001474246739</v>
      </c>
      <c r="C72" s="211">
        <f>Summary!C18</f>
        <v>1080.9285911729476</v>
      </c>
      <c r="D72" s="211">
        <f>Summary!C22</f>
        <v>108.38846401916521</v>
      </c>
      <c r="E72" s="211">
        <f>Summary!C27</f>
        <v>2744.5</v>
      </c>
      <c r="F72" s="211">
        <f>Summary!C32</f>
        <v>35</v>
      </c>
      <c r="G72" s="211">
        <f>Summary!C36</f>
        <v>105</v>
      </c>
      <c r="H72" s="211">
        <f>Summary!C41</f>
        <v>0</v>
      </c>
      <c r="I72" s="212">
        <f>SUM(B72:H72)</f>
        <v>13570.617202616786</v>
      </c>
      <c r="J72" s="291"/>
      <c r="K72" s="291"/>
      <c r="L72" s="191"/>
    </row>
    <row r="73" spans="1:12" x14ac:dyDescent="0.2">
      <c r="A73" s="204">
        <f t="shared" si="22"/>
        <v>2007</v>
      </c>
      <c r="B73" s="211">
        <f>Summary!D14</f>
        <v>9580.7208145213299</v>
      </c>
      <c r="C73" s="211">
        <f>Summary!D18</f>
        <v>1090.4804662305355</v>
      </c>
      <c r="D73" s="211">
        <f>Summary!D22</f>
        <v>109.34626370588776</v>
      </c>
      <c r="E73" s="211">
        <f>Summary!D27</f>
        <v>2753.5</v>
      </c>
      <c r="F73" s="211">
        <f>Summary!D32</f>
        <v>34.5</v>
      </c>
      <c r="G73" s="211">
        <f>Summary!D36</f>
        <v>83</v>
      </c>
      <c r="H73" s="211">
        <f>Summary!D41</f>
        <v>4</v>
      </c>
      <c r="I73" s="212">
        <f t="shared" ref="I73:I84" si="23">SUM(B73:H73)</f>
        <v>13655.547544457753</v>
      </c>
      <c r="J73" s="291"/>
      <c r="K73" s="291"/>
      <c r="L73" s="191"/>
    </row>
    <row r="74" spans="1:12" ht="12.75" customHeight="1" x14ac:dyDescent="0.2">
      <c r="A74" s="204">
        <f t="shared" si="22"/>
        <v>2008</v>
      </c>
      <c r="B74" s="211">
        <f>Summary!E14</f>
        <v>9629.1195061273374</v>
      </c>
      <c r="C74" s="211">
        <f>Summary!E18</f>
        <v>1095.9892195706257</v>
      </c>
      <c r="D74" s="211">
        <f>Summary!E22</f>
        <v>109.89864553579656</v>
      </c>
      <c r="E74" s="211">
        <f>Summary!E27</f>
        <v>2762.5</v>
      </c>
      <c r="F74" s="211">
        <f>Summary!E32</f>
        <v>34</v>
      </c>
      <c r="G74" s="211">
        <f>Summary!E36</f>
        <v>61</v>
      </c>
      <c r="H74" s="211">
        <f>Summary!E41</f>
        <v>4</v>
      </c>
      <c r="I74" s="212">
        <f t="shared" si="23"/>
        <v>13696.50737123376</v>
      </c>
      <c r="J74" s="291"/>
      <c r="K74" s="291"/>
      <c r="L74" s="191"/>
    </row>
    <row r="75" spans="1:12" x14ac:dyDescent="0.2">
      <c r="A75" s="204">
        <f t="shared" si="22"/>
        <v>2009</v>
      </c>
      <c r="B75" s="211">
        <f>Summary!F14</f>
        <v>9740.5</v>
      </c>
      <c r="C75" s="211">
        <f>Summary!F18</f>
        <v>1121.5</v>
      </c>
      <c r="D75" s="211">
        <f>Summary!F22</f>
        <v>112.5</v>
      </c>
      <c r="E75" s="211">
        <f>Summary!F27</f>
        <v>2771.5</v>
      </c>
      <c r="F75" s="211">
        <f>Summary!F32</f>
        <v>34</v>
      </c>
      <c r="G75" s="211">
        <f>Summary!F36</f>
        <v>39</v>
      </c>
      <c r="H75" s="211">
        <f>Summary!F41</f>
        <v>4</v>
      </c>
      <c r="I75" s="212">
        <f t="shared" si="23"/>
        <v>13823</v>
      </c>
      <c r="J75" s="291"/>
      <c r="K75" s="291"/>
      <c r="L75" s="191"/>
    </row>
    <row r="76" spans="1:12" x14ac:dyDescent="0.2">
      <c r="A76" s="204">
        <f t="shared" si="22"/>
        <v>2010</v>
      </c>
      <c r="B76" s="211">
        <f>Summary!G14</f>
        <v>9871</v>
      </c>
      <c r="C76" s="211">
        <f>Summary!G18</f>
        <v>1166.5</v>
      </c>
      <c r="D76" s="211">
        <f>Summary!G22</f>
        <v>107.5</v>
      </c>
      <c r="E76" s="211">
        <f>Summary!G27</f>
        <v>2780.5</v>
      </c>
      <c r="F76" s="211">
        <f>Summary!G32</f>
        <v>33.5</v>
      </c>
      <c r="G76" s="211">
        <f>Summary!G36</f>
        <v>17.5</v>
      </c>
      <c r="H76" s="211">
        <f>Summary!G41</f>
        <v>4</v>
      </c>
      <c r="I76" s="212">
        <f t="shared" si="23"/>
        <v>13980.5</v>
      </c>
      <c r="J76" s="291"/>
      <c r="K76" s="291"/>
      <c r="L76" s="191"/>
    </row>
    <row r="77" spans="1:12" x14ac:dyDescent="0.2">
      <c r="A77" s="204">
        <f t="shared" si="22"/>
        <v>2011</v>
      </c>
      <c r="B77" s="211">
        <f>Summary!H14</f>
        <v>9931.5</v>
      </c>
      <c r="C77" s="211">
        <f>Summary!H18</f>
        <v>1194</v>
      </c>
      <c r="D77" s="211">
        <f>Summary!H22</f>
        <v>95</v>
      </c>
      <c r="E77" s="211">
        <f>Summary!H27</f>
        <v>2789.5</v>
      </c>
      <c r="F77" s="211">
        <f>Summary!H32</f>
        <v>32.5</v>
      </c>
      <c r="G77" s="211">
        <f>Summary!H36</f>
        <v>7</v>
      </c>
      <c r="H77" s="211">
        <f>Summary!H41</f>
        <v>4</v>
      </c>
      <c r="I77" s="212">
        <f t="shared" si="23"/>
        <v>14053.5</v>
      </c>
      <c r="J77" s="291"/>
      <c r="K77" s="291"/>
      <c r="L77" s="191"/>
    </row>
    <row r="78" spans="1:12" x14ac:dyDescent="0.2">
      <c r="A78" s="204">
        <f t="shared" si="22"/>
        <v>2012</v>
      </c>
      <c r="B78" s="211">
        <f>Summary!I14</f>
        <v>10007.5</v>
      </c>
      <c r="C78" s="211">
        <f>Summary!I18</f>
        <v>1205</v>
      </c>
      <c r="D78" s="211">
        <f>Summary!I22</f>
        <v>89</v>
      </c>
      <c r="E78" s="211">
        <f>Summary!I27</f>
        <v>2798.5</v>
      </c>
      <c r="F78" s="211">
        <f>Summary!I32</f>
        <v>31.5</v>
      </c>
      <c r="G78" s="211">
        <f>Summary!I36</f>
        <v>7</v>
      </c>
      <c r="H78" s="211">
        <f>Summary!I41</f>
        <v>4</v>
      </c>
      <c r="I78" s="212">
        <f t="shared" si="23"/>
        <v>14142.5</v>
      </c>
      <c r="J78" s="291"/>
      <c r="K78" s="291"/>
      <c r="L78" s="191"/>
    </row>
    <row r="79" spans="1:12" x14ac:dyDescent="0.2">
      <c r="A79" s="204" t="str">
        <f>A62</f>
        <v>2012 Board Approved</v>
      </c>
      <c r="B79" s="211">
        <v>10023.425678689409</v>
      </c>
      <c r="C79" s="211">
        <v>1214.4801246521154</v>
      </c>
      <c r="D79" s="211">
        <v>93.462448747383306</v>
      </c>
      <c r="E79" s="211">
        <v>2801.1936395745015</v>
      </c>
      <c r="F79" s="211">
        <v>32.02858627679273</v>
      </c>
      <c r="G79" s="211">
        <v>7</v>
      </c>
      <c r="H79" s="211">
        <v>4</v>
      </c>
      <c r="I79" s="212">
        <f t="shared" si="23"/>
        <v>14175.590477940201</v>
      </c>
      <c r="J79" s="291"/>
      <c r="K79" s="291"/>
      <c r="L79" s="191"/>
    </row>
    <row r="80" spans="1:12" x14ac:dyDescent="0.2">
      <c r="A80" s="204">
        <f>A51</f>
        <v>2013</v>
      </c>
      <c r="B80" s="211">
        <f>Summary!J14</f>
        <v>10082.5</v>
      </c>
      <c r="C80" s="211">
        <f>Summary!J18</f>
        <v>1207.5</v>
      </c>
      <c r="D80" s="211">
        <f>Summary!J22</f>
        <v>89</v>
      </c>
      <c r="E80" s="211">
        <f>Summary!J27</f>
        <v>2807.5</v>
      </c>
      <c r="F80" s="211">
        <f>Summary!J32</f>
        <v>31.5</v>
      </c>
      <c r="G80" s="211">
        <f>Summary!J36</f>
        <v>7</v>
      </c>
      <c r="H80" s="211">
        <f>Summary!J41</f>
        <v>4</v>
      </c>
      <c r="I80" s="212">
        <f t="shared" si="23"/>
        <v>14229</v>
      </c>
      <c r="J80" s="291"/>
      <c r="K80" s="291"/>
      <c r="L80" s="191"/>
    </row>
    <row r="81" spans="1:21" x14ac:dyDescent="0.2">
      <c r="A81" s="204">
        <f>A52</f>
        <v>2014</v>
      </c>
      <c r="B81" s="211">
        <f>Summary!K14</f>
        <v>10153.5</v>
      </c>
      <c r="C81" s="211">
        <f>Summary!K18</f>
        <v>1214.5</v>
      </c>
      <c r="D81" s="211">
        <f>Summary!K22</f>
        <v>90</v>
      </c>
      <c r="E81" s="211">
        <f>Summary!K27</f>
        <v>2816.5</v>
      </c>
      <c r="F81" s="211">
        <f>Summary!K32</f>
        <v>31</v>
      </c>
      <c r="G81" s="211">
        <f>Summary!K36</f>
        <v>7</v>
      </c>
      <c r="H81" s="211">
        <f>Summary!K41</f>
        <v>4</v>
      </c>
      <c r="I81" s="212">
        <f t="shared" si="23"/>
        <v>14316.5</v>
      </c>
      <c r="J81" s="291"/>
      <c r="K81" s="291"/>
      <c r="L81" s="191"/>
    </row>
    <row r="82" spans="1:21" x14ac:dyDescent="0.2">
      <c r="A82" s="204">
        <f>A53</f>
        <v>2015</v>
      </c>
      <c r="B82" s="211">
        <f>Summary!L14</f>
        <v>10217.5</v>
      </c>
      <c r="C82" s="211">
        <f>Summary!L18</f>
        <v>1221</v>
      </c>
      <c r="D82" s="211">
        <f>Summary!L22</f>
        <v>92.5</v>
      </c>
      <c r="E82" s="211">
        <f>Summary!L27</f>
        <v>2825.5</v>
      </c>
      <c r="F82" s="211">
        <f>Summary!L32</f>
        <v>31</v>
      </c>
      <c r="G82" s="211">
        <f>Summary!L36</f>
        <v>7</v>
      </c>
      <c r="H82" s="211">
        <f>Summary!L41</f>
        <v>4</v>
      </c>
      <c r="I82" s="212">
        <f t="shared" si="23"/>
        <v>14398.5</v>
      </c>
      <c r="J82" s="291"/>
      <c r="K82" s="291"/>
      <c r="L82" s="191"/>
    </row>
    <row r="83" spans="1:21" ht="12.75" customHeight="1" x14ac:dyDescent="0.2">
      <c r="A83" s="207" t="str">
        <f>A66</f>
        <v>2016 Bridge</v>
      </c>
      <c r="B83" s="211">
        <f>Summary!M14</f>
        <v>10301.603081592852</v>
      </c>
      <c r="C83" s="211">
        <f>Summary!M18</f>
        <v>1237.0605612126985</v>
      </c>
      <c r="D83" s="211">
        <f>Summary!M22</f>
        <v>92.5</v>
      </c>
      <c r="E83" s="211">
        <f>Summary!M27</f>
        <v>2825.5</v>
      </c>
      <c r="F83" s="211">
        <f>Summary!M32</f>
        <v>31</v>
      </c>
      <c r="G83" s="211">
        <f>Summary!M36</f>
        <v>7</v>
      </c>
      <c r="H83" s="211">
        <f>Summary!M41</f>
        <v>4</v>
      </c>
      <c r="I83" s="212">
        <f t="shared" si="23"/>
        <v>14498.66364280555</v>
      </c>
      <c r="J83" s="291"/>
      <c r="K83" s="291"/>
      <c r="L83" s="191"/>
    </row>
    <row r="84" spans="1:21" ht="12.75" customHeight="1" x14ac:dyDescent="0.2">
      <c r="A84" s="204" t="str">
        <f>A67</f>
        <v>2017 Test</v>
      </c>
      <c r="B84" s="211">
        <f>Summary!N14</f>
        <v>10386.398439019657</v>
      </c>
      <c r="C84" s="211">
        <f>Summary!N18</f>
        <v>1253.3323768287278</v>
      </c>
      <c r="D84" s="211">
        <f>Summary!N22</f>
        <v>92.5</v>
      </c>
      <c r="E84" s="211">
        <f>Summary!N27</f>
        <v>2825.5</v>
      </c>
      <c r="F84" s="211">
        <f>Summary!N32</f>
        <v>31</v>
      </c>
      <c r="G84" s="211">
        <f>Summary!N36</f>
        <v>7</v>
      </c>
      <c r="H84" s="211">
        <f>Summary!N41</f>
        <v>4</v>
      </c>
      <c r="I84" s="212">
        <f t="shared" si="23"/>
        <v>14599.730815848385</v>
      </c>
      <c r="J84" s="291"/>
      <c r="K84" s="291"/>
      <c r="L84" s="191"/>
    </row>
    <row r="85" spans="1:21" x14ac:dyDescent="0.2">
      <c r="A85" s="363" t="s">
        <v>190</v>
      </c>
      <c r="B85" s="363"/>
      <c r="C85" s="363"/>
      <c r="D85" s="363"/>
      <c r="E85" s="363"/>
      <c r="F85" s="363"/>
      <c r="G85" s="363"/>
      <c r="H85" s="363"/>
      <c r="I85" s="374"/>
    </row>
    <row r="86" spans="1:21" x14ac:dyDescent="0.2">
      <c r="A86" s="207">
        <f t="shared" ref="A86:A95" si="24">A28</f>
        <v>2006</v>
      </c>
      <c r="B86" s="213">
        <f>B44*1000000/B72</f>
        <v>9601.3510429327725</v>
      </c>
      <c r="C86" s="213">
        <f t="shared" ref="C86:G86" si="25">C44*1000000/C72</f>
        <v>25461.471946204168</v>
      </c>
      <c r="D86" s="213">
        <f t="shared" si="25"/>
        <v>711134.72911998234</v>
      </c>
      <c r="E86" s="213">
        <f t="shared" si="25"/>
        <v>819.69935143013299</v>
      </c>
      <c r="F86" s="213">
        <f t="shared" si="25"/>
        <v>7656.1142857142859</v>
      </c>
      <c r="G86" s="213">
        <f t="shared" si="25"/>
        <v>1786.3142857142857</v>
      </c>
      <c r="H86" s="213"/>
      <c r="I86" s="375"/>
      <c r="L86" s="191"/>
      <c r="M86" s="191"/>
      <c r="N86" s="191"/>
      <c r="O86" s="191"/>
      <c r="P86" s="191"/>
      <c r="R86" s="191"/>
      <c r="S86" s="191"/>
      <c r="T86" s="191"/>
      <c r="U86" s="191"/>
    </row>
    <row r="87" spans="1:21" x14ac:dyDescent="0.2">
      <c r="A87" s="207">
        <f t="shared" si="24"/>
        <v>2007</v>
      </c>
      <c r="B87" s="213">
        <f t="shared" ref="B87:B92" si="26">B45*1000000/B73</f>
        <v>9802.9996717624217</v>
      </c>
      <c r="C87" s="213">
        <f t="shared" ref="C87:H87" si="27">C45*1000000/C73</f>
        <v>25205.73531684811</v>
      </c>
      <c r="D87" s="213">
        <f t="shared" si="27"/>
        <v>645093.58261869755</v>
      </c>
      <c r="E87" s="213">
        <f t="shared" si="27"/>
        <v>875.11094243689854</v>
      </c>
      <c r="F87" s="213">
        <f t="shared" si="27"/>
        <v>12409.217391304348</v>
      </c>
      <c r="G87" s="213">
        <f t="shared" si="27"/>
        <v>2202.4337349397592</v>
      </c>
      <c r="H87" s="213">
        <f t="shared" si="27"/>
        <v>15649459.689999998</v>
      </c>
      <c r="I87" s="375"/>
      <c r="L87" s="191"/>
      <c r="M87" s="191"/>
      <c r="N87" s="191"/>
      <c r="O87" s="191"/>
      <c r="P87" s="191"/>
      <c r="R87" s="191"/>
      <c r="S87" s="191"/>
      <c r="T87" s="191"/>
      <c r="U87" s="191"/>
    </row>
    <row r="88" spans="1:21" x14ac:dyDescent="0.2">
      <c r="A88" s="207">
        <f t="shared" si="24"/>
        <v>2008</v>
      </c>
      <c r="B88" s="213">
        <f t="shared" si="26"/>
        <v>9512.6998830695247</v>
      </c>
      <c r="C88" s="213">
        <f t="shared" ref="C88:H88" si="28">C46*1000000/C74</f>
        <v>24913.690310473401</v>
      </c>
      <c r="D88" s="213">
        <f t="shared" si="28"/>
        <v>652997.9386927468</v>
      </c>
      <c r="E88" s="213">
        <f t="shared" si="28"/>
        <v>831.1524307692307</v>
      </c>
      <c r="F88" s="213">
        <f t="shared" si="28"/>
        <v>8645.5</v>
      </c>
      <c r="G88" s="213">
        <f t="shared" si="28"/>
        <v>1530.1475409836066</v>
      </c>
      <c r="H88" s="213">
        <f t="shared" si="28"/>
        <v>13716194.180000002</v>
      </c>
      <c r="I88" s="375"/>
      <c r="L88" s="191"/>
      <c r="M88" s="191"/>
      <c r="N88" s="191"/>
      <c r="O88" s="191"/>
      <c r="P88" s="191"/>
      <c r="R88" s="191"/>
      <c r="S88" s="191"/>
      <c r="T88" s="191"/>
      <c r="U88" s="191"/>
    </row>
    <row r="89" spans="1:21" x14ac:dyDescent="0.2">
      <c r="A89" s="207">
        <f t="shared" si="24"/>
        <v>2009</v>
      </c>
      <c r="B89" s="213">
        <f t="shared" si="26"/>
        <v>9186.4834454083466</v>
      </c>
      <c r="C89" s="213">
        <f t="shared" ref="C89:H89" si="29">C47*1000000/C75</f>
        <v>24116.562639322336</v>
      </c>
      <c r="D89" s="213">
        <f t="shared" si="29"/>
        <v>560286.07999999996</v>
      </c>
      <c r="E89" s="213">
        <f t="shared" si="29"/>
        <v>751.35955258885087</v>
      </c>
      <c r="F89" s="213">
        <f t="shared" si="29"/>
        <v>8395.7647058823532</v>
      </c>
      <c r="G89" s="213">
        <f t="shared" si="29"/>
        <v>1304.0031225604996</v>
      </c>
      <c r="H89" s="213">
        <f t="shared" si="29"/>
        <v>12774443.85</v>
      </c>
      <c r="I89" s="375"/>
      <c r="L89" s="191"/>
      <c r="M89" s="191"/>
      <c r="N89" s="191"/>
      <c r="O89" s="191"/>
      <c r="P89" s="191"/>
      <c r="R89" s="191"/>
      <c r="S89" s="191"/>
      <c r="T89" s="191"/>
      <c r="U89" s="191"/>
    </row>
    <row r="90" spans="1:21" x14ac:dyDescent="0.2">
      <c r="A90" s="207">
        <f t="shared" si="24"/>
        <v>2010</v>
      </c>
      <c r="B90" s="213">
        <f t="shared" si="26"/>
        <v>9549.2942964238682</v>
      </c>
      <c r="C90" s="213">
        <f t="shared" ref="C90:H90" si="30">C48*1000000/C76</f>
        <v>23869.172738962709</v>
      </c>
      <c r="D90" s="213">
        <f t="shared" si="30"/>
        <v>610224.95813953492</v>
      </c>
      <c r="E90" s="213">
        <f t="shared" si="30"/>
        <v>866.73296169753644</v>
      </c>
      <c r="F90" s="213">
        <f t="shared" si="30"/>
        <v>8224.2686567164183</v>
      </c>
      <c r="G90" s="213">
        <f t="shared" si="30"/>
        <v>1077.8587041373926</v>
      </c>
      <c r="H90" s="213">
        <f t="shared" si="30"/>
        <v>12023594.074999999</v>
      </c>
      <c r="I90" s="375"/>
      <c r="L90" s="191"/>
      <c r="M90" s="191"/>
      <c r="N90" s="191"/>
      <c r="O90" s="191"/>
      <c r="P90" s="191"/>
      <c r="R90" s="191"/>
      <c r="S90" s="191"/>
      <c r="T90" s="191"/>
      <c r="U90" s="191"/>
    </row>
    <row r="91" spans="1:21" x14ac:dyDescent="0.2">
      <c r="A91" s="207">
        <f t="shared" si="24"/>
        <v>2011</v>
      </c>
      <c r="B91" s="213">
        <f t="shared" si="26"/>
        <v>9240.862910939939</v>
      </c>
      <c r="C91" s="213">
        <f t="shared" ref="C91:H91" si="31">C49*1000000/C77</f>
        <v>25657.851758793971</v>
      </c>
      <c r="D91" s="213">
        <f t="shared" si="31"/>
        <v>677097.09473684209</v>
      </c>
      <c r="E91" s="213">
        <f t="shared" si="31"/>
        <v>804.8876142677899</v>
      </c>
      <c r="F91" s="213">
        <f t="shared" si="31"/>
        <v>6206.0307692307688</v>
      </c>
      <c r="G91" s="213">
        <f t="shared" si="31"/>
        <v>851.71428571428567</v>
      </c>
      <c r="H91" s="213">
        <f t="shared" si="31"/>
        <v>13185103.85</v>
      </c>
      <c r="I91" s="375"/>
      <c r="L91" s="191"/>
      <c r="M91" s="191"/>
      <c r="N91" s="191"/>
      <c r="O91" s="191"/>
      <c r="P91" s="191"/>
      <c r="R91" s="191"/>
      <c r="S91" s="191"/>
      <c r="T91" s="191"/>
      <c r="U91" s="191"/>
    </row>
    <row r="92" spans="1:21" x14ac:dyDescent="0.2">
      <c r="A92" s="207">
        <f t="shared" si="24"/>
        <v>2012</v>
      </c>
      <c r="B92" s="213">
        <f t="shared" si="26"/>
        <v>9021.3827629278039</v>
      </c>
      <c r="C92" s="213">
        <f t="shared" ref="C92:H92" si="32">C50*1000000/C78</f>
        <v>24405.664730290457</v>
      </c>
      <c r="D92" s="213">
        <f t="shared" si="32"/>
        <v>684656.99088158854</v>
      </c>
      <c r="E92" s="213">
        <f t="shared" si="32"/>
        <v>838.44112649890189</v>
      </c>
      <c r="F92" s="213">
        <f t="shared" si="32"/>
        <v>8324.730158730159</v>
      </c>
      <c r="G92" s="213">
        <f t="shared" si="32"/>
        <v>851.71428571428567</v>
      </c>
      <c r="H92" s="213">
        <f t="shared" si="32"/>
        <v>12527922.725000001</v>
      </c>
      <c r="I92" s="375"/>
      <c r="L92" s="191"/>
      <c r="M92" s="191"/>
      <c r="N92" s="191"/>
      <c r="O92" s="191"/>
      <c r="P92" s="191"/>
      <c r="R92" s="191"/>
      <c r="S92" s="191"/>
      <c r="T92" s="191"/>
      <c r="U92" s="191"/>
    </row>
    <row r="93" spans="1:21" x14ac:dyDescent="0.2">
      <c r="A93" s="207">
        <f t="shared" si="24"/>
        <v>2013</v>
      </c>
      <c r="B93" s="213">
        <f>B51*1000000/B80</f>
        <v>8806.4693280436404</v>
      </c>
      <c r="C93" s="213">
        <f t="shared" ref="C93:H93" si="33">C51*1000000/C80</f>
        <v>23951.502277432712</v>
      </c>
      <c r="D93" s="213">
        <f t="shared" si="33"/>
        <v>667724.96176705381</v>
      </c>
      <c r="E93" s="213">
        <f t="shared" si="33"/>
        <v>895.06605709351061</v>
      </c>
      <c r="F93" s="213">
        <f t="shared" si="33"/>
        <v>8272.9206349206361</v>
      </c>
      <c r="G93" s="213">
        <f t="shared" si="33"/>
        <v>851.71428571428567</v>
      </c>
      <c r="H93" s="213">
        <f t="shared" si="33"/>
        <v>12452810.5</v>
      </c>
      <c r="I93" s="375"/>
      <c r="L93" s="191"/>
      <c r="M93" s="191"/>
      <c r="N93" s="191"/>
      <c r="O93" s="191"/>
      <c r="P93" s="191"/>
      <c r="R93" s="191"/>
      <c r="S93" s="191"/>
      <c r="T93" s="191"/>
      <c r="U93" s="191"/>
    </row>
    <row r="94" spans="1:21" x14ac:dyDescent="0.2">
      <c r="A94" s="207">
        <f t="shared" si="24"/>
        <v>2014</v>
      </c>
      <c r="B94" s="213">
        <f t="shared" ref="B94:B95" si="34">B52*1000000/B81</f>
        <v>8778.3481558083422</v>
      </c>
      <c r="C94" s="213">
        <f t="shared" ref="C94:H94" si="35">C52*1000000/C81</f>
        <v>24492.864553314121</v>
      </c>
      <c r="D94" s="213">
        <f t="shared" si="35"/>
        <v>637182</v>
      </c>
      <c r="E94" s="213">
        <f t="shared" si="35"/>
        <v>817.35948872714357</v>
      </c>
      <c r="F94" s="213">
        <f t="shared" si="35"/>
        <v>8376.677419354839</v>
      </c>
      <c r="G94" s="213">
        <f t="shared" si="35"/>
        <v>851.71428571428567</v>
      </c>
      <c r="H94" s="213">
        <f t="shared" si="35"/>
        <v>13037808.375</v>
      </c>
      <c r="I94" s="375"/>
      <c r="L94" s="191"/>
      <c r="M94" s="191"/>
      <c r="N94" s="191"/>
      <c r="O94" s="191"/>
      <c r="P94" s="191"/>
      <c r="R94" s="191"/>
      <c r="S94" s="191"/>
      <c r="T94" s="191"/>
      <c r="U94" s="191"/>
    </row>
    <row r="95" spans="1:21" x14ac:dyDescent="0.2">
      <c r="A95" s="207">
        <f t="shared" si="24"/>
        <v>2015</v>
      </c>
      <c r="B95" s="213">
        <f t="shared" si="34"/>
        <v>8881.7242965500373</v>
      </c>
      <c r="C95" s="213">
        <f t="shared" ref="C95:H95" si="36">C53*1000000/C82</f>
        <v>23441.4438984439</v>
      </c>
      <c r="D95" s="213">
        <f t="shared" si="36"/>
        <v>673561.36941101635</v>
      </c>
      <c r="E95" s="213">
        <f t="shared" si="36"/>
        <v>838.18389363144672</v>
      </c>
      <c r="F95" s="213">
        <f t="shared" si="36"/>
        <v>8374.4193548387084</v>
      </c>
      <c r="G95" s="213">
        <f t="shared" si="36"/>
        <v>851.71428571428567</v>
      </c>
      <c r="H95" s="213">
        <f t="shared" si="36"/>
        <v>12048303.015000001</v>
      </c>
      <c r="I95" s="375"/>
      <c r="L95" s="191"/>
      <c r="M95" s="191"/>
      <c r="N95" s="191"/>
      <c r="O95" s="191"/>
      <c r="P95" s="191"/>
      <c r="R95" s="191"/>
      <c r="S95" s="191"/>
      <c r="T95" s="191"/>
      <c r="U95" s="191"/>
    </row>
    <row r="96" spans="1:21" x14ac:dyDescent="0.2">
      <c r="A96" s="363" t="s">
        <v>191</v>
      </c>
      <c r="B96" s="363"/>
      <c r="C96" s="363"/>
      <c r="D96" s="363"/>
      <c r="E96" s="363"/>
      <c r="F96" s="363"/>
      <c r="G96" s="363"/>
      <c r="H96" s="363"/>
      <c r="I96" s="375"/>
    </row>
    <row r="97" spans="1:23" x14ac:dyDescent="0.2">
      <c r="A97" s="207">
        <f t="shared" ref="A97:A109" si="37">A55</f>
        <v>2006</v>
      </c>
      <c r="B97" s="213">
        <f>B55*1000000/B72</f>
        <v>9751.1153388871171</v>
      </c>
      <c r="C97" s="213">
        <f t="shared" ref="C97:G97" si="38">C55*1000000/C72</f>
        <v>25858.626409459775</v>
      </c>
      <c r="D97" s="213">
        <f t="shared" si="38"/>
        <v>722227.18804155581</v>
      </c>
      <c r="E97" s="213">
        <f t="shared" si="38"/>
        <v>832.48522872096794</v>
      </c>
      <c r="F97" s="213">
        <f t="shared" si="38"/>
        <v>7775.5362879532304</v>
      </c>
      <c r="G97" s="213">
        <f t="shared" si="38"/>
        <v>1814.1776666235908</v>
      </c>
      <c r="H97" s="213"/>
      <c r="I97" s="375"/>
      <c r="V97" s="191"/>
      <c r="W97" s="191"/>
    </row>
    <row r="98" spans="1:23" s="198" customFormat="1" x14ac:dyDescent="0.2">
      <c r="A98" s="207">
        <f t="shared" si="37"/>
        <v>2007</v>
      </c>
      <c r="B98" s="213">
        <f t="shared" ref="B98:H109" si="39">B56*1000000/B73</f>
        <v>9645.2750695178602</v>
      </c>
      <c r="C98" s="213">
        <f t="shared" si="39"/>
        <v>24800.189595105079</v>
      </c>
      <c r="D98" s="213">
        <f t="shared" si="39"/>
        <v>634714.39949762321</v>
      </c>
      <c r="E98" s="213">
        <f t="shared" si="39"/>
        <v>861.03091286051199</v>
      </c>
      <c r="F98" s="213">
        <f t="shared" si="39"/>
        <v>12209.560251373228</v>
      </c>
      <c r="G98" s="213">
        <f t="shared" si="39"/>
        <v>2166.9978483290511</v>
      </c>
      <c r="H98" s="213">
        <f t="shared" si="39"/>
        <v>15397668.923133247</v>
      </c>
      <c r="I98" s="375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91"/>
      <c r="W98" s="191"/>
    </row>
    <row r="99" spans="1:23" s="198" customFormat="1" x14ac:dyDescent="0.2">
      <c r="A99" s="207">
        <f t="shared" si="37"/>
        <v>2008</v>
      </c>
      <c r="B99" s="213">
        <f t="shared" si="39"/>
        <v>9427.1416326161216</v>
      </c>
      <c r="C99" s="213">
        <f t="shared" si="39"/>
        <v>24689.613888269047</v>
      </c>
      <c r="D99" s="213">
        <f t="shared" si="39"/>
        <v>647124.80468547449</v>
      </c>
      <c r="E99" s="213">
        <f t="shared" si="39"/>
        <v>823.67695601329171</v>
      </c>
      <c r="F99" s="213">
        <f t="shared" si="39"/>
        <v>8567.7414389829137</v>
      </c>
      <c r="G99" s="213">
        <f t="shared" si="39"/>
        <v>1516.385228690423</v>
      </c>
      <c r="H99" s="213">
        <f t="shared" si="39"/>
        <v>13592829.247715261</v>
      </c>
      <c r="I99" s="375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91"/>
      <c r="W99" s="191"/>
    </row>
    <row r="100" spans="1:23" x14ac:dyDescent="0.2">
      <c r="A100" s="207">
        <f t="shared" si="37"/>
        <v>2009</v>
      </c>
      <c r="B100" s="213">
        <f t="shared" si="39"/>
        <v>9415.1285433301455</v>
      </c>
      <c r="C100" s="213">
        <f t="shared" si="39"/>
        <v>24716.806885009315</v>
      </c>
      <c r="D100" s="213">
        <f t="shared" si="39"/>
        <v>574231.20561712096</v>
      </c>
      <c r="E100" s="213">
        <f t="shared" si="39"/>
        <v>770.06036226178674</v>
      </c>
      <c r="F100" s="213">
        <f t="shared" si="39"/>
        <v>8604.7293717104221</v>
      </c>
      <c r="G100" s="213">
        <f t="shared" si="39"/>
        <v>1336.4588411627251</v>
      </c>
      <c r="H100" s="213">
        <f t="shared" si="39"/>
        <v>13092390.753441019</v>
      </c>
      <c r="I100" s="375"/>
      <c r="V100" s="191"/>
      <c r="W100" s="191"/>
    </row>
    <row r="101" spans="1:23" x14ac:dyDescent="0.2">
      <c r="A101" s="207">
        <f t="shared" si="37"/>
        <v>2010</v>
      </c>
      <c r="B101" s="213">
        <f t="shared" si="39"/>
        <v>9381.7645037083912</v>
      </c>
      <c r="C101" s="213">
        <f t="shared" si="39"/>
        <v>23450.419537195132</v>
      </c>
      <c r="D101" s="213">
        <f t="shared" si="39"/>
        <v>599519.36487017549</v>
      </c>
      <c r="E101" s="213">
        <f t="shared" si="39"/>
        <v>851.52727330784705</v>
      </c>
      <c r="F101" s="213">
        <f t="shared" si="39"/>
        <v>8079.9846938887067</v>
      </c>
      <c r="G101" s="213">
        <f t="shared" si="39"/>
        <v>1058.949092633605</v>
      </c>
      <c r="H101" s="213">
        <f t="shared" si="39"/>
        <v>11812655.951139461</v>
      </c>
      <c r="I101" s="375"/>
      <c r="V101" s="191"/>
      <c r="W101" s="191"/>
    </row>
    <row r="102" spans="1:23" x14ac:dyDescent="0.2">
      <c r="A102" s="207">
        <f t="shared" si="37"/>
        <v>2011</v>
      </c>
      <c r="B102" s="213">
        <f t="shared" si="39"/>
        <v>9121.5833190104531</v>
      </c>
      <c r="C102" s="213">
        <f t="shared" si="39"/>
        <v>25326.664280192483</v>
      </c>
      <c r="D102" s="213">
        <f t="shared" si="39"/>
        <v>668357.23289328662</v>
      </c>
      <c r="E102" s="213">
        <f t="shared" si="39"/>
        <v>794.49825267848405</v>
      </c>
      <c r="F102" s="213">
        <f t="shared" si="39"/>
        <v>6125.9243089586089</v>
      </c>
      <c r="G102" s="213">
        <f t="shared" si="39"/>
        <v>840.72049288134133</v>
      </c>
      <c r="H102" s="213">
        <f t="shared" si="39"/>
        <v>13014912.621980155</v>
      </c>
      <c r="I102" s="375"/>
      <c r="V102" s="191"/>
      <c r="W102" s="191"/>
    </row>
    <row r="103" spans="1:23" x14ac:dyDescent="0.2">
      <c r="A103" s="207">
        <f t="shared" si="37"/>
        <v>2012</v>
      </c>
      <c r="B103" s="213">
        <f t="shared" si="39"/>
        <v>9009.3762977262886</v>
      </c>
      <c r="C103" s="213">
        <f t="shared" si="39"/>
        <v>24373.183483013352</v>
      </c>
      <c r="D103" s="213">
        <f t="shared" si="39"/>
        <v>683745.78795937414</v>
      </c>
      <c r="E103" s="213">
        <f t="shared" si="39"/>
        <v>837.32525385793645</v>
      </c>
      <c r="F103" s="213">
        <f t="shared" si="39"/>
        <v>8313.650861288801</v>
      </c>
      <c r="G103" s="213">
        <f t="shared" si="39"/>
        <v>850.58074796272456</v>
      </c>
      <c r="H103" s="213">
        <f t="shared" si="39"/>
        <v>12511249.441957062</v>
      </c>
      <c r="I103" s="375"/>
      <c r="V103" s="191"/>
      <c r="W103" s="191"/>
    </row>
    <row r="104" spans="1:23" ht="12.75" customHeight="1" x14ac:dyDescent="0.2">
      <c r="A104" s="207" t="str">
        <f t="shared" si="37"/>
        <v>2012 Board Approved</v>
      </c>
      <c r="B104" s="213">
        <f t="shared" si="39"/>
        <v>9575.512518862186</v>
      </c>
      <c r="C104" s="213">
        <f t="shared" si="39"/>
        <v>26838.612615793922</v>
      </c>
      <c r="D104" s="213">
        <f t="shared" si="39"/>
        <v>713314.35573312989</v>
      </c>
      <c r="E104" s="213">
        <f t="shared" si="39"/>
        <v>794.33417785238987</v>
      </c>
      <c r="F104" s="213">
        <f t="shared" si="39"/>
        <v>5900.7105070367998</v>
      </c>
      <c r="G104" s="213">
        <f t="shared" si="39"/>
        <v>794.89952111116986</v>
      </c>
      <c r="H104" s="213">
        <f t="shared" si="39"/>
        <v>10749195.53823836</v>
      </c>
      <c r="I104" s="375"/>
      <c r="V104" s="191"/>
      <c r="W104" s="191"/>
    </row>
    <row r="105" spans="1:23" x14ac:dyDescent="0.2">
      <c r="A105" s="207">
        <f t="shared" si="37"/>
        <v>2013</v>
      </c>
      <c r="B105" s="213">
        <f t="shared" si="39"/>
        <v>8835.9679228750683</v>
      </c>
      <c r="C105" s="213">
        <f t="shared" si="39"/>
        <v>24031.731440218311</v>
      </c>
      <c r="D105" s="213">
        <f t="shared" si="39"/>
        <v>669961.60705272737</v>
      </c>
      <c r="E105" s="213">
        <f t="shared" si="39"/>
        <v>898.0642156042644</v>
      </c>
      <c r="F105" s="213">
        <f t="shared" si="39"/>
        <v>8300.6320280785003</v>
      </c>
      <c r="G105" s="213">
        <f t="shared" si="39"/>
        <v>854.5672309401798</v>
      </c>
      <c r="H105" s="213">
        <f t="shared" si="39"/>
        <v>12494523.063544879</v>
      </c>
      <c r="I105" s="375"/>
      <c r="V105" s="191"/>
      <c r="W105" s="191"/>
    </row>
    <row r="106" spans="1:23" x14ac:dyDescent="0.2">
      <c r="A106" s="207">
        <f t="shared" si="37"/>
        <v>2014</v>
      </c>
      <c r="B106" s="213">
        <f t="shared" si="39"/>
        <v>8810.4108623549037</v>
      </c>
      <c r="C106" s="213">
        <f t="shared" si="39"/>
        <v>24582.324154906473</v>
      </c>
      <c r="D106" s="213">
        <f t="shared" si="39"/>
        <v>639509.29200529982</v>
      </c>
      <c r="E106" s="213">
        <f t="shared" si="39"/>
        <v>820.34487469782505</v>
      </c>
      <c r="F106" s="213">
        <f t="shared" si="39"/>
        <v>8407.273033149706</v>
      </c>
      <c r="G106" s="213">
        <f t="shared" si="39"/>
        <v>854.82515175874789</v>
      </c>
      <c r="H106" s="213">
        <f t="shared" si="39"/>
        <v>13085428.658055343</v>
      </c>
      <c r="I106" s="375"/>
      <c r="V106" s="191"/>
      <c r="W106" s="191"/>
    </row>
    <row r="107" spans="1:23" x14ac:dyDescent="0.2">
      <c r="A107" s="207">
        <f t="shared" si="37"/>
        <v>2015</v>
      </c>
      <c r="B107" s="213">
        <f t="shared" si="39"/>
        <v>9005.3287519844362</v>
      </c>
      <c r="C107" s="213">
        <f t="shared" si="39"/>
        <v>23767.671870729489</v>
      </c>
      <c r="D107" s="213">
        <f t="shared" si="39"/>
        <v>682935.13327576895</v>
      </c>
      <c r="E107" s="213">
        <f t="shared" si="39"/>
        <v>849.84866279867276</v>
      </c>
      <c r="F107" s="213">
        <f t="shared" si="39"/>
        <v>8490.9637902853501</v>
      </c>
      <c r="G107" s="213">
        <f t="shared" si="39"/>
        <v>863.56735353719773</v>
      </c>
      <c r="H107" s="213">
        <f t="shared" si="39"/>
        <v>12215975.854569696</v>
      </c>
      <c r="I107" s="375"/>
      <c r="V107" s="191"/>
      <c r="W107" s="191"/>
    </row>
    <row r="108" spans="1:23" ht="12.75" customHeight="1" x14ac:dyDescent="0.2">
      <c r="A108" s="207" t="str">
        <f t="shared" si="37"/>
        <v>2016 Bridge</v>
      </c>
      <c r="B108" s="213">
        <f t="shared" si="39"/>
        <v>8977.231882102642</v>
      </c>
      <c r="C108" s="213">
        <f t="shared" si="39"/>
        <v>23623.268132434703</v>
      </c>
      <c r="D108" s="213">
        <f t="shared" si="39"/>
        <v>671533.19124301395</v>
      </c>
      <c r="E108" s="213">
        <f t="shared" si="39"/>
        <v>840.26329201469059</v>
      </c>
      <c r="F108" s="213">
        <f t="shared" si="39"/>
        <v>8458.2802579621148</v>
      </c>
      <c r="G108" s="213">
        <f t="shared" si="39"/>
        <v>851.71428571428567</v>
      </c>
      <c r="H108" s="213">
        <f t="shared" si="39"/>
        <v>11660822.865512276</v>
      </c>
      <c r="I108" s="375"/>
      <c r="V108" s="191"/>
      <c r="W108" s="191"/>
    </row>
    <row r="109" spans="1:23" x14ac:dyDescent="0.2">
      <c r="A109" s="207" t="str">
        <f t="shared" si="37"/>
        <v>2017 Test</v>
      </c>
      <c r="B109" s="213">
        <f t="shared" si="39"/>
        <v>8865.4183214559762</v>
      </c>
      <c r="C109" s="213">
        <f t="shared" si="39"/>
        <v>23247.842353993037</v>
      </c>
      <c r="D109" s="213">
        <f t="shared" si="39"/>
        <v>656667.97743682808</v>
      </c>
      <c r="E109" s="213">
        <f t="shared" si="39"/>
        <v>842.34784904828462</v>
      </c>
      <c r="F109" s="213">
        <f t="shared" si="39"/>
        <v>8542.9809388390186</v>
      </c>
      <c r="G109" s="213">
        <f t="shared" si="39"/>
        <v>851.71428571428567</v>
      </c>
      <c r="H109" s="213">
        <f t="shared" si="39"/>
        <v>11285804.293896565</v>
      </c>
      <c r="I109" s="375"/>
      <c r="V109" s="191"/>
      <c r="W109" s="191"/>
    </row>
    <row r="111" spans="1:23" x14ac:dyDescent="0.2">
      <c r="L111" s="197"/>
    </row>
    <row r="112" spans="1:23" x14ac:dyDescent="0.2">
      <c r="L112" s="364" t="s">
        <v>192</v>
      </c>
      <c r="M112" s="364"/>
    </row>
    <row r="113" spans="1:13" x14ac:dyDescent="0.2">
      <c r="L113" s="301" t="s">
        <v>23</v>
      </c>
      <c r="M113" s="214">
        <f>'Purchased Power Model '!Q6</f>
        <v>0.89420452716422061</v>
      </c>
    </row>
    <row r="114" spans="1:13" x14ac:dyDescent="0.2">
      <c r="F114" s="215"/>
      <c r="L114" s="301" t="s">
        <v>24</v>
      </c>
      <c r="M114" s="214">
        <f>'Purchased Power Model '!Q7</f>
        <v>0.8895643748468619</v>
      </c>
    </row>
    <row r="115" spans="1:13" x14ac:dyDescent="0.2">
      <c r="L115" s="301" t="s">
        <v>193</v>
      </c>
      <c r="M115" s="216">
        <f>'Purchased Power Model '!T13</f>
        <v>192.71016682340675</v>
      </c>
    </row>
    <row r="116" spans="1:13" x14ac:dyDescent="0.2">
      <c r="L116" s="301" t="s">
        <v>194</v>
      </c>
      <c r="M116" s="214">
        <f>'Purchased Power Model '!O123</f>
        <v>3.3616336977810191E-2</v>
      </c>
    </row>
    <row r="117" spans="1:13" x14ac:dyDescent="0.2">
      <c r="L117" s="301" t="s">
        <v>195</v>
      </c>
      <c r="M117" s="216"/>
    </row>
    <row r="118" spans="1:13" x14ac:dyDescent="0.2">
      <c r="L118" s="315" t="str">
        <f>'Purchased Power Model '!P19</f>
        <v>Embedded Distributor Usage</v>
      </c>
      <c r="M118" s="217">
        <f>'Purchased Power Model '!S19</f>
        <v>11.114125496314585</v>
      </c>
    </row>
    <row r="119" spans="1:13" x14ac:dyDescent="0.2">
      <c r="L119" s="315" t="str">
        <f>'Purchased Power Model '!P20</f>
        <v>Heating Degree Days</v>
      </c>
      <c r="M119" s="217">
        <f>'Purchased Power Model '!S20</f>
        <v>11.417825058470743</v>
      </c>
    </row>
    <row r="120" spans="1:13" x14ac:dyDescent="0.2">
      <c r="L120" s="315" t="str">
        <f>'Purchased Power Model '!P21</f>
        <v>Cooling Degree Days</v>
      </c>
      <c r="M120" s="217">
        <f>'Purchased Power Model '!S21</f>
        <v>14.224099117358456</v>
      </c>
    </row>
    <row r="121" spans="1:13" x14ac:dyDescent="0.2">
      <c r="L121" s="315" t="str">
        <f>'Purchased Power Model '!P22</f>
        <v>Number of Days in Month</v>
      </c>
      <c r="M121" s="217">
        <f>'Purchased Power Model '!S22</f>
        <v>6.0708456305332099</v>
      </c>
    </row>
    <row r="122" spans="1:13" x14ac:dyDescent="0.2">
      <c r="L122" s="315" t="str">
        <f>'Purchased Power Model '!P23</f>
        <v>Spring Fall Flag</v>
      </c>
      <c r="M122" s="217">
        <f>'Purchased Power Model '!S23</f>
        <v>-3.1409820517815761</v>
      </c>
    </row>
    <row r="123" spans="1:13" x14ac:dyDescent="0.2">
      <c r="L123" s="315" t="s">
        <v>196</v>
      </c>
      <c r="M123" s="217">
        <f>'Purchased Power Model '!S18</f>
        <v>-1.6114278490528151</v>
      </c>
    </row>
    <row r="126" spans="1:13" x14ac:dyDescent="0.2">
      <c r="A126" s="218"/>
      <c r="B126" s="219"/>
    </row>
    <row r="127" spans="1:13" x14ac:dyDescent="0.2">
      <c r="A127" s="218"/>
      <c r="B127" s="219"/>
    </row>
    <row r="128" spans="1:13" x14ac:dyDescent="0.2">
      <c r="L128" s="215"/>
    </row>
    <row r="129" spans="1:12" x14ac:dyDescent="0.2">
      <c r="A129" s="364" t="s">
        <v>197</v>
      </c>
      <c r="B129" s="364"/>
      <c r="C129" s="364"/>
      <c r="D129" s="364"/>
      <c r="E129" s="364"/>
      <c r="F129" s="364"/>
      <c r="G129" s="364"/>
      <c r="H129" s="251"/>
      <c r="I129" s="251"/>
      <c r="J129" s="251"/>
      <c r="K129" s="251"/>
      <c r="L129" s="197"/>
    </row>
    <row r="130" spans="1:12" ht="51" x14ac:dyDescent="0.2">
      <c r="A130" s="187" t="s">
        <v>176</v>
      </c>
      <c r="B130" s="188" t="s">
        <v>198</v>
      </c>
      <c r="C130" s="188" t="s">
        <v>199</v>
      </c>
      <c r="D130" s="188" t="s">
        <v>10</v>
      </c>
      <c r="E130" s="188" t="s">
        <v>200</v>
      </c>
      <c r="F130" s="188" t="s">
        <v>201</v>
      </c>
      <c r="G130" s="188" t="s">
        <v>202</v>
      </c>
      <c r="H130" s="288"/>
      <c r="I130" s="288"/>
      <c r="J130" s="288"/>
      <c r="K130" s="288"/>
      <c r="L130" s="197"/>
    </row>
    <row r="131" spans="1:12" x14ac:dyDescent="0.2">
      <c r="A131" s="363" t="s">
        <v>203</v>
      </c>
      <c r="B131" s="363"/>
      <c r="C131" s="363"/>
      <c r="D131" s="363"/>
      <c r="E131" s="363"/>
      <c r="F131" s="363"/>
      <c r="G131" s="363"/>
      <c r="H131" s="251"/>
      <c r="I131" s="251"/>
      <c r="J131" s="251"/>
      <c r="K131" s="251"/>
      <c r="L131" s="197"/>
    </row>
    <row r="132" spans="1:12" x14ac:dyDescent="0.2">
      <c r="A132" s="301">
        <v>2006</v>
      </c>
      <c r="B132" s="195">
        <f>'Purchased Power Model '!B149/1000000</f>
        <v>213.83893</v>
      </c>
      <c r="C132" s="195">
        <f>'Purchased Power Model '!M149/1000000</f>
        <v>216.2016131072788</v>
      </c>
      <c r="D132" s="256">
        <f t="shared" ref="D132:D141" si="40">C132/B132-1</f>
        <v>1.1048891365472047E-2</v>
      </c>
      <c r="E132" s="195">
        <f>'Purchased Power Model '!Q149/1000000</f>
        <v>219.57398041542328</v>
      </c>
      <c r="F132" s="220">
        <f t="shared" ref="F132:F144" si="41">E132/C132</f>
        <v>1.0155982522964393</v>
      </c>
      <c r="G132" s="195">
        <f t="shared" ref="G132:G141" si="42">B132*F132</f>
        <v>217.17444358094062</v>
      </c>
      <c r="H132" s="209"/>
      <c r="I132" s="209"/>
      <c r="J132" s="209"/>
      <c r="K132" s="209"/>
      <c r="L132" s="197"/>
    </row>
    <row r="133" spans="1:12" x14ac:dyDescent="0.2">
      <c r="A133" s="301">
        <v>2007</v>
      </c>
      <c r="B133" s="195">
        <f>'Purchased Power Model '!B150/1000000</f>
        <v>271.07621999999998</v>
      </c>
      <c r="C133" s="195">
        <f>'Purchased Power Model '!M150/1000000</f>
        <v>264.85439669680466</v>
      </c>
      <c r="D133" s="256">
        <f t="shared" si="40"/>
        <v>-2.2952302135522351E-2</v>
      </c>
      <c r="E133" s="195">
        <f>'Purchased Power Model '!Q150/1000000</f>
        <v>260.59304244091732</v>
      </c>
      <c r="F133" s="220">
        <f t="shared" si="41"/>
        <v>0.983910577626674</v>
      </c>
      <c r="G133" s="195">
        <f t="shared" si="42"/>
        <v>266.71476020105536</v>
      </c>
      <c r="H133" s="209"/>
      <c r="I133" s="209"/>
      <c r="J133" s="209"/>
      <c r="K133" s="209"/>
      <c r="L133" s="197"/>
    </row>
    <row r="134" spans="1:12" x14ac:dyDescent="0.2">
      <c r="A134" s="301">
        <v>2008</v>
      </c>
      <c r="B134" s="195">
        <f>'Purchased Power Model '!B151/1000000</f>
        <v>262.64060000000001</v>
      </c>
      <c r="C134" s="195">
        <f>'Purchased Power Model '!M151/1000000</f>
        <v>258.50565801721785</v>
      </c>
      <c r="D134" s="256">
        <f t="shared" si="40"/>
        <v>-1.5743727294188936E-2</v>
      </c>
      <c r="E134" s="195">
        <f>'Purchased Power Model '!Q151/1000000</f>
        <v>256.18063020133746</v>
      </c>
      <c r="F134" s="220">
        <f t="shared" si="41"/>
        <v>0.99100589196494282</v>
      </c>
      <c r="G134" s="195">
        <f t="shared" si="42"/>
        <v>260.27838206920779</v>
      </c>
      <c r="H134" s="209"/>
      <c r="I134" s="209"/>
      <c r="J134" s="209"/>
      <c r="K134" s="209"/>
      <c r="L134" s="197"/>
    </row>
    <row r="135" spans="1:12" x14ac:dyDescent="0.2">
      <c r="A135" s="301">
        <v>2009</v>
      </c>
      <c r="B135" s="195">
        <f>'Purchased Power Model '!B152/1000000</f>
        <v>248.85857846153846</v>
      </c>
      <c r="C135" s="195">
        <f>'Purchased Power Model '!M152/1000000</f>
        <v>246.91182868177683</v>
      </c>
      <c r="D135" s="256">
        <f t="shared" si="40"/>
        <v>-7.8227151814358464E-3</v>
      </c>
      <c r="E135" s="195">
        <f>'Purchased Power Model '!Q152/1000000</f>
        <v>253.05729006343458</v>
      </c>
      <c r="F135" s="220">
        <f t="shared" si="41"/>
        <v>1.0248892951563617</v>
      </c>
      <c r="G135" s="195">
        <f t="shared" si="42"/>
        <v>255.0524930730603</v>
      </c>
      <c r="H135" s="209"/>
      <c r="I135" s="209"/>
      <c r="J135" s="209"/>
      <c r="K135" s="209"/>
      <c r="L135" s="197"/>
    </row>
    <row r="136" spans="1:12" x14ac:dyDescent="0.2">
      <c r="A136" s="301">
        <v>2010</v>
      </c>
      <c r="B136" s="195">
        <f>'Purchased Power Model '!B153/1000000</f>
        <v>261.28490769230774</v>
      </c>
      <c r="C136" s="195">
        <f>'Purchased Power Model '!M153/1000000</f>
        <v>255.57291531708447</v>
      </c>
      <c r="D136" s="256">
        <f t="shared" si="40"/>
        <v>-2.1861164602548722E-2</v>
      </c>
      <c r="E136" s="195">
        <f>'Purchased Power Model '!Q153/1000000</f>
        <v>251.08922508849912</v>
      </c>
      <c r="F136" s="220">
        <f t="shared" si="41"/>
        <v>0.98245631692614022</v>
      </c>
      <c r="G136" s="195">
        <f t="shared" si="42"/>
        <v>256.70100807977121</v>
      </c>
      <c r="H136" s="209"/>
      <c r="I136" s="209"/>
      <c r="J136" s="209"/>
      <c r="K136" s="209"/>
      <c r="L136" s="197"/>
    </row>
    <row r="137" spans="1:12" x14ac:dyDescent="0.2">
      <c r="A137" s="301">
        <v>2011</v>
      </c>
      <c r="B137" s="195">
        <f>'Purchased Power Model '!B154/1000000</f>
        <v>255.0357153846154</v>
      </c>
      <c r="C137" s="195">
        <f>'Purchased Power Model '!M154/1000000</f>
        <v>257.45689058217562</v>
      </c>
      <c r="D137" s="256">
        <f t="shared" si="40"/>
        <v>9.4934750370507803E-3</v>
      </c>
      <c r="E137" s="195">
        <f>'Purchased Power Model '!Q154/1000000</f>
        <v>254.13367789694894</v>
      </c>
      <c r="F137" s="220">
        <f t="shared" si="41"/>
        <v>0.98709215869999811</v>
      </c>
      <c r="G137" s="195">
        <f t="shared" si="42"/>
        <v>251.74375484459833</v>
      </c>
      <c r="H137" s="209"/>
      <c r="I137" s="209"/>
      <c r="J137" s="209"/>
      <c r="K137" s="209"/>
      <c r="L137" s="197"/>
    </row>
    <row r="138" spans="1:12" x14ac:dyDescent="0.2">
      <c r="A138" s="301">
        <v>2012</v>
      </c>
      <c r="B138" s="195">
        <f>'Purchased Power Model '!B155/1000000</f>
        <v>246.90182727272725</v>
      </c>
      <c r="C138" s="195">
        <f>'Purchased Power Model '!M155/1000000</f>
        <v>253.40328371799524</v>
      </c>
      <c r="D138" s="256">
        <f t="shared" si="40"/>
        <v>2.633215200180139E-2</v>
      </c>
      <c r="E138" s="195">
        <f>'Purchased Power Model '!Q155/1000000</f>
        <v>253.06603190329423</v>
      </c>
      <c r="F138" s="220">
        <f t="shared" si="41"/>
        <v>0.99866911032188388</v>
      </c>
      <c r="G138" s="195">
        <f t="shared" si="42"/>
        <v>246.57322817930196</v>
      </c>
      <c r="H138" s="209"/>
      <c r="I138" s="209"/>
      <c r="J138" s="209"/>
      <c r="K138" s="209"/>
      <c r="L138" s="197"/>
    </row>
    <row r="139" spans="1:12" x14ac:dyDescent="0.2">
      <c r="A139" s="301">
        <v>2013</v>
      </c>
      <c r="B139" s="195">
        <f>'Purchased Power Model '!B156/1000000</f>
        <v>247.68143106060606</v>
      </c>
      <c r="C139" s="195">
        <f>'Purchased Power Model '!M156/1000000</f>
        <v>251.37224230991055</v>
      </c>
      <c r="D139" s="256">
        <f t="shared" si="40"/>
        <v>1.4901445108339129E-2</v>
      </c>
      <c r="E139" s="195">
        <f>'Purchased Power Model '!Q156/1000000</f>
        <v>252.2142514797097</v>
      </c>
      <c r="F139" s="220">
        <f t="shared" si="41"/>
        <v>1.0033496505503621</v>
      </c>
      <c r="G139" s="195">
        <f t="shared" si="42"/>
        <v>248.51107730247267</v>
      </c>
      <c r="H139" s="209"/>
      <c r="I139" s="209"/>
      <c r="J139" s="209"/>
      <c r="K139" s="209"/>
      <c r="L139" s="197"/>
    </row>
    <row r="140" spans="1:12" x14ac:dyDescent="0.2">
      <c r="A140" s="301">
        <v>2014</v>
      </c>
      <c r="B140" s="195">
        <f>'Purchased Power Model '!B157/1000000</f>
        <v>249.77265512820517</v>
      </c>
      <c r="C140" s="195">
        <f>'Purchased Power Model '!M157/1000000</f>
        <v>252.8241650378892</v>
      </c>
      <c r="D140" s="256">
        <f t="shared" si="40"/>
        <v>1.2217149664032423E-2</v>
      </c>
      <c r="E140" s="195">
        <f>'Purchased Power Model '!Q157/1000000</f>
        <v>253.74759924984008</v>
      </c>
      <c r="F140" s="220">
        <f t="shared" si="41"/>
        <v>1.0036524760669634</v>
      </c>
      <c r="G140" s="195">
        <f t="shared" si="42"/>
        <v>250.68494377324285</v>
      </c>
      <c r="H140" s="209"/>
      <c r="I140" s="209"/>
      <c r="J140" s="209"/>
      <c r="K140" s="209"/>
      <c r="L140" s="197"/>
    </row>
    <row r="141" spans="1:12" x14ac:dyDescent="0.2">
      <c r="A141" s="301">
        <v>2015</v>
      </c>
      <c r="B141" s="195">
        <f>'Purchased Power Model '!B158/1000000</f>
        <v>247.71885384615382</v>
      </c>
      <c r="C141" s="195">
        <f>'Purchased Power Model '!M158/1000000</f>
        <v>247.70672537802176</v>
      </c>
      <c r="D141" s="256">
        <f t="shared" si="40"/>
        <v>-4.8960617828441855E-5</v>
      </c>
      <c r="E141" s="195">
        <f>'Purchased Power Model '!Q158/1000000</f>
        <v>251.15399010675034</v>
      </c>
      <c r="F141" s="220">
        <f t="shared" si="41"/>
        <v>1.0139167183429023</v>
      </c>
      <c r="G141" s="195">
        <f t="shared" si="42"/>
        <v>251.16628736335733</v>
      </c>
      <c r="H141" s="209"/>
      <c r="I141" s="209"/>
      <c r="J141" s="209"/>
      <c r="K141" s="209"/>
      <c r="L141" s="197"/>
    </row>
    <row r="142" spans="1:12" ht="12.75" customHeight="1" x14ac:dyDescent="0.2">
      <c r="A142" s="301" t="str">
        <f>A108</f>
        <v>2016 Bridge</v>
      </c>
      <c r="B142" s="221"/>
      <c r="C142" s="195">
        <f>'Purchased Power Model '!M159/1000000</f>
        <v>250.7932618765212</v>
      </c>
      <c r="D142" s="258"/>
      <c r="E142" s="195">
        <f>'Purchased Power Model '!Q159/1000000</f>
        <v>250.7932618765212</v>
      </c>
      <c r="F142" s="220">
        <f t="shared" si="41"/>
        <v>1</v>
      </c>
      <c r="G142" s="195"/>
      <c r="H142" s="209"/>
      <c r="I142" s="209"/>
      <c r="J142" s="209"/>
      <c r="K142" s="209"/>
    </row>
    <row r="143" spans="1:12" x14ac:dyDescent="0.2">
      <c r="A143" s="301" t="str">
        <f>A109</f>
        <v>2017 Test</v>
      </c>
      <c r="B143" s="221"/>
      <c r="C143" s="195">
        <f>'Purchased Power Model '!M160/1000000</f>
        <v>249.15539188324183</v>
      </c>
      <c r="D143" s="258"/>
      <c r="E143" s="195">
        <f>'Purchased Power Model '!Q160/1000000</f>
        <v>249.15539188324183</v>
      </c>
      <c r="F143" s="220">
        <f t="shared" si="41"/>
        <v>1</v>
      </c>
      <c r="G143" s="195"/>
      <c r="H143" s="209"/>
      <c r="I143" s="209"/>
      <c r="J143" s="209"/>
      <c r="K143" s="209"/>
      <c r="L143" s="215"/>
    </row>
    <row r="144" spans="1:12" s="197" customFormat="1" x14ac:dyDescent="0.2">
      <c r="A144" s="301" t="s">
        <v>204</v>
      </c>
      <c r="B144" s="216"/>
      <c r="C144" s="195">
        <f>'Purchased Power Model '!N180/1000000</f>
        <v>249.84670906546438</v>
      </c>
      <c r="D144" s="256"/>
      <c r="E144" s="195">
        <f>C144</f>
        <v>249.84670906546438</v>
      </c>
      <c r="F144" s="220">
        <f t="shared" si="41"/>
        <v>1</v>
      </c>
      <c r="G144" s="184"/>
      <c r="H144"/>
      <c r="I144"/>
      <c r="J144"/>
      <c r="K144"/>
      <c r="L144"/>
    </row>
    <row r="147" spans="1:13" x14ac:dyDescent="0.2">
      <c r="A147" s="371" t="s">
        <v>205</v>
      </c>
      <c r="B147" s="372"/>
      <c r="C147" s="372"/>
      <c r="D147" s="372"/>
      <c r="E147" s="372"/>
      <c r="F147" s="372"/>
      <c r="G147" s="372"/>
      <c r="H147" s="372"/>
      <c r="I147" s="372"/>
      <c r="J147" s="251"/>
      <c r="K147" s="251"/>
      <c r="M147" s="215"/>
    </row>
    <row r="148" spans="1:13" ht="38.25" x14ac:dyDescent="0.2">
      <c r="A148" s="199" t="s">
        <v>176</v>
      </c>
      <c r="B148" s="200" t="str">
        <f>B71</f>
        <v>Residential</v>
      </c>
      <c r="C148" s="200" t="str">
        <f t="shared" ref="C148:H148" si="43">C71</f>
        <v>GS&lt;50</v>
      </c>
      <c r="D148" s="200" t="str">
        <f t="shared" si="43"/>
        <v>GS&gt;50</v>
      </c>
      <c r="E148" s="200" t="str">
        <f t="shared" si="43"/>
        <v>Street 
Lights</v>
      </c>
      <c r="F148" s="200" t="str">
        <f t="shared" si="43"/>
        <v>Unmetered Scattered Load</v>
      </c>
      <c r="G148" s="200" t="str">
        <f t="shared" si="43"/>
        <v>Sentinel Lights</v>
      </c>
      <c r="H148" s="200" t="str">
        <f t="shared" si="43"/>
        <v>Embedded Distributor</v>
      </c>
      <c r="I148" s="200" t="str">
        <f>I71</f>
        <v>Total</v>
      </c>
      <c r="J148" s="230"/>
      <c r="K148" s="230"/>
    </row>
    <row r="149" spans="1:13" x14ac:dyDescent="0.2">
      <c r="A149" s="363" t="s">
        <v>189</v>
      </c>
      <c r="B149" s="363"/>
      <c r="C149" s="363"/>
      <c r="D149" s="363"/>
      <c r="E149" s="363"/>
      <c r="F149" s="363"/>
      <c r="G149" s="363"/>
      <c r="H149" s="363"/>
      <c r="I149" s="363"/>
      <c r="J149" s="251"/>
      <c r="K149" s="251"/>
    </row>
    <row r="150" spans="1:13" x14ac:dyDescent="0.2">
      <c r="A150" s="236">
        <f t="shared" ref="A150:A159" si="44">A132</f>
        <v>2006</v>
      </c>
      <c r="B150" s="222">
        <f>'Rate Class Customer Model'!B4</f>
        <v>9496.8001474246739</v>
      </c>
      <c r="C150" s="222">
        <f>'Rate Class Customer Model'!C4</f>
        <v>1080.9285911729476</v>
      </c>
      <c r="D150" s="222">
        <f>'Rate Class Customer Model'!D4</f>
        <v>108.38846401916521</v>
      </c>
      <c r="E150" s="222">
        <f>'Rate Class Customer Model'!E4</f>
        <v>2744.5</v>
      </c>
      <c r="F150" s="222">
        <f>'Rate Class Customer Model'!F4</f>
        <v>35</v>
      </c>
      <c r="G150" s="222">
        <f>'Rate Class Customer Model'!G4</f>
        <v>105</v>
      </c>
      <c r="H150" s="222"/>
      <c r="I150" s="222">
        <f>SUM(B150:H150)</f>
        <v>13570.617202616786</v>
      </c>
      <c r="J150" s="224"/>
      <c r="K150" s="224"/>
    </row>
    <row r="151" spans="1:13" x14ac:dyDescent="0.2">
      <c r="A151" s="204">
        <f t="shared" si="44"/>
        <v>2007</v>
      </c>
      <c r="B151" s="222">
        <f>'Rate Class Customer Model'!B5</f>
        <v>9580.7208145213299</v>
      </c>
      <c r="C151" s="222">
        <f>'Rate Class Customer Model'!C5</f>
        <v>1090.4804662305355</v>
      </c>
      <c r="D151" s="222">
        <f>'Rate Class Customer Model'!D5</f>
        <v>109.34626370588776</v>
      </c>
      <c r="E151" s="222">
        <f>'Rate Class Customer Model'!E5</f>
        <v>2753.5</v>
      </c>
      <c r="F151" s="222">
        <f>'Rate Class Customer Model'!F5</f>
        <v>34.5</v>
      </c>
      <c r="G151" s="222">
        <f>'Rate Class Customer Model'!G5</f>
        <v>83</v>
      </c>
      <c r="H151" s="222">
        <f>'Rate Class Customer Model'!H5</f>
        <v>4</v>
      </c>
      <c r="I151" s="222">
        <f t="shared" ref="I151:I159" si="45">SUM(B151:H151)</f>
        <v>13655.547544457753</v>
      </c>
      <c r="J151" s="224"/>
      <c r="K151" s="224"/>
    </row>
    <row r="152" spans="1:13" x14ac:dyDescent="0.2">
      <c r="A152" s="204">
        <f t="shared" si="44"/>
        <v>2008</v>
      </c>
      <c r="B152" s="222">
        <f>'Rate Class Customer Model'!B6</f>
        <v>9629.1195061273374</v>
      </c>
      <c r="C152" s="222">
        <f>'Rate Class Customer Model'!C6</f>
        <v>1095.9892195706257</v>
      </c>
      <c r="D152" s="222">
        <f>'Rate Class Customer Model'!D6</f>
        <v>109.89864553579656</v>
      </c>
      <c r="E152" s="222">
        <f>'Rate Class Customer Model'!E6</f>
        <v>2762.5</v>
      </c>
      <c r="F152" s="222">
        <f>'Rate Class Customer Model'!F6</f>
        <v>34</v>
      </c>
      <c r="G152" s="222">
        <f>'Rate Class Customer Model'!G6</f>
        <v>61</v>
      </c>
      <c r="H152" s="222">
        <f>'Rate Class Customer Model'!H6</f>
        <v>4</v>
      </c>
      <c r="I152" s="222">
        <f t="shared" si="45"/>
        <v>13696.50737123376</v>
      </c>
      <c r="J152" s="224"/>
      <c r="K152" s="224"/>
    </row>
    <row r="153" spans="1:13" x14ac:dyDescent="0.2">
      <c r="A153" s="204">
        <f t="shared" si="44"/>
        <v>2009</v>
      </c>
      <c r="B153" s="222">
        <f>'Rate Class Customer Model'!B7</f>
        <v>9740.5</v>
      </c>
      <c r="C153" s="222">
        <f>'Rate Class Customer Model'!C7</f>
        <v>1121.5</v>
      </c>
      <c r="D153" s="222">
        <f>'Rate Class Customer Model'!D7</f>
        <v>112.5</v>
      </c>
      <c r="E153" s="222">
        <f>'Rate Class Customer Model'!E7</f>
        <v>2771.5</v>
      </c>
      <c r="F153" s="222">
        <f>'Rate Class Customer Model'!F7</f>
        <v>34</v>
      </c>
      <c r="G153" s="222">
        <f>'Rate Class Customer Model'!G7</f>
        <v>39</v>
      </c>
      <c r="H153" s="222">
        <f>'Rate Class Customer Model'!H7</f>
        <v>4</v>
      </c>
      <c r="I153" s="222">
        <f t="shared" si="45"/>
        <v>13823</v>
      </c>
      <c r="J153" s="224"/>
      <c r="K153" s="224"/>
    </row>
    <row r="154" spans="1:13" x14ac:dyDescent="0.2">
      <c r="A154" s="204">
        <f t="shared" si="44"/>
        <v>2010</v>
      </c>
      <c r="B154" s="222">
        <f>'Rate Class Customer Model'!B8</f>
        <v>9871</v>
      </c>
      <c r="C154" s="222">
        <f>'Rate Class Customer Model'!C8</f>
        <v>1166.5</v>
      </c>
      <c r="D154" s="222">
        <f>'Rate Class Customer Model'!D8</f>
        <v>107.5</v>
      </c>
      <c r="E154" s="222">
        <f>'Rate Class Customer Model'!E8</f>
        <v>2780.5</v>
      </c>
      <c r="F154" s="222">
        <f>'Rate Class Customer Model'!F8</f>
        <v>33.5</v>
      </c>
      <c r="G154" s="222">
        <f>'Rate Class Customer Model'!G8</f>
        <v>17.5</v>
      </c>
      <c r="H154" s="222">
        <f>'Rate Class Customer Model'!H8</f>
        <v>4</v>
      </c>
      <c r="I154" s="222">
        <f t="shared" si="45"/>
        <v>13980.5</v>
      </c>
      <c r="J154" s="224"/>
      <c r="K154" s="224"/>
    </row>
    <row r="155" spans="1:13" x14ac:dyDescent="0.2">
      <c r="A155" s="204">
        <f t="shared" si="44"/>
        <v>2011</v>
      </c>
      <c r="B155" s="222">
        <f>'Rate Class Customer Model'!B9</f>
        <v>9931.5</v>
      </c>
      <c r="C155" s="222">
        <f>'Rate Class Customer Model'!C9</f>
        <v>1194</v>
      </c>
      <c r="D155" s="222">
        <f>'Rate Class Customer Model'!D9</f>
        <v>95</v>
      </c>
      <c r="E155" s="222">
        <f>'Rate Class Customer Model'!E9</f>
        <v>2789.5</v>
      </c>
      <c r="F155" s="222">
        <f>'Rate Class Customer Model'!F9</f>
        <v>32.5</v>
      </c>
      <c r="G155" s="222">
        <f>'Rate Class Customer Model'!G9</f>
        <v>7</v>
      </c>
      <c r="H155" s="222">
        <f>'Rate Class Customer Model'!H9</f>
        <v>4</v>
      </c>
      <c r="I155" s="222">
        <f t="shared" si="45"/>
        <v>14053.5</v>
      </c>
      <c r="J155" s="224"/>
      <c r="K155" s="224"/>
    </row>
    <row r="156" spans="1:13" x14ac:dyDescent="0.2">
      <c r="A156" s="204">
        <f t="shared" si="44"/>
        <v>2012</v>
      </c>
      <c r="B156" s="222">
        <f>'Rate Class Customer Model'!B10</f>
        <v>10007.5</v>
      </c>
      <c r="C156" s="222">
        <f>'Rate Class Customer Model'!C10</f>
        <v>1205</v>
      </c>
      <c r="D156" s="222">
        <f>'Rate Class Customer Model'!D10</f>
        <v>89</v>
      </c>
      <c r="E156" s="222">
        <f>'Rate Class Customer Model'!E10</f>
        <v>2798.5</v>
      </c>
      <c r="F156" s="222">
        <f>'Rate Class Customer Model'!F10</f>
        <v>31.5</v>
      </c>
      <c r="G156" s="222">
        <f>'Rate Class Customer Model'!G10</f>
        <v>7</v>
      </c>
      <c r="H156" s="222">
        <f>'Rate Class Customer Model'!H10</f>
        <v>4</v>
      </c>
      <c r="I156" s="222">
        <f t="shared" si="45"/>
        <v>14142.5</v>
      </c>
      <c r="J156" s="224"/>
      <c r="K156" s="224"/>
    </row>
    <row r="157" spans="1:13" x14ac:dyDescent="0.2">
      <c r="A157" s="204">
        <f t="shared" si="44"/>
        <v>2013</v>
      </c>
      <c r="B157" s="222">
        <f>'Rate Class Customer Model'!B11</f>
        <v>10082.5</v>
      </c>
      <c r="C157" s="222">
        <f>'Rate Class Customer Model'!C11</f>
        <v>1207.5</v>
      </c>
      <c r="D157" s="222">
        <f>'Rate Class Customer Model'!D11</f>
        <v>89</v>
      </c>
      <c r="E157" s="222">
        <f>'Rate Class Customer Model'!E11</f>
        <v>2807.5</v>
      </c>
      <c r="F157" s="222">
        <f>'Rate Class Customer Model'!F11</f>
        <v>31</v>
      </c>
      <c r="G157" s="222">
        <f>'Rate Class Customer Model'!G11</f>
        <v>7</v>
      </c>
      <c r="H157" s="222">
        <f>'Rate Class Customer Model'!H11</f>
        <v>4</v>
      </c>
      <c r="I157" s="222">
        <f t="shared" si="45"/>
        <v>14228.5</v>
      </c>
      <c r="J157" s="224"/>
      <c r="K157" s="224"/>
    </row>
    <row r="158" spans="1:13" x14ac:dyDescent="0.2">
      <c r="A158" s="204">
        <f t="shared" si="44"/>
        <v>2014</v>
      </c>
      <c r="B158" s="222">
        <f>'Rate Class Customer Model'!B12</f>
        <v>10153.5</v>
      </c>
      <c r="C158" s="222">
        <f>'Rate Class Customer Model'!C12</f>
        <v>1214.5</v>
      </c>
      <c r="D158" s="222">
        <f>'Rate Class Customer Model'!D12</f>
        <v>90</v>
      </c>
      <c r="E158" s="222">
        <f>'Rate Class Customer Model'!E12</f>
        <v>2816.5</v>
      </c>
      <c r="F158" s="222">
        <f>'Rate Class Customer Model'!F12</f>
        <v>31</v>
      </c>
      <c r="G158" s="222">
        <f>'Rate Class Customer Model'!G12</f>
        <v>7</v>
      </c>
      <c r="H158" s="222">
        <f>'Rate Class Customer Model'!H12</f>
        <v>4</v>
      </c>
      <c r="I158" s="222">
        <f t="shared" si="45"/>
        <v>14316.5</v>
      </c>
      <c r="J158" s="224"/>
      <c r="K158" s="224"/>
    </row>
    <row r="159" spans="1:13" x14ac:dyDescent="0.2">
      <c r="A159" s="204">
        <f t="shared" si="44"/>
        <v>2015</v>
      </c>
      <c r="B159" s="222">
        <f>'Rate Class Customer Model'!B13</f>
        <v>10217.5</v>
      </c>
      <c r="C159" s="222">
        <f>'Rate Class Customer Model'!C13</f>
        <v>1221</v>
      </c>
      <c r="D159" s="222">
        <f>'Rate Class Customer Model'!D13</f>
        <v>92.5</v>
      </c>
      <c r="E159" s="222">
        <f>'Rate Class Customer Model'!E13</f>
        <v>2825.5</v>
      </c>
      <c r="F159" s="222">
        <f>'Rate Class Customer Model'!F13</f>
        <v>31</v>
      </c>
      <c r="G159" s="222">
        <f>'Rate Class Customer Model'!G13</f>
        <v>7</v>
      </c>
      <c r="H159" s="222">
        <f>'Rate Class Customer Model'!H13</f>
        <v>4</v>
      </c>
      <c r="I159" s="222">
        <f t="shared" si="45"/>
        <v>14398.5</v>
      </c>
      <c r="J159" s="224"/>
      <c r="K159" s="224"/>
    </row>
    <row r="160" spans="1:13" x14ac:dyDescent="0.2">
      <c r="A160" s="223"/>
      <c r="B160" s="224"/>
      <c r="C160" s="224"/>
      <c r="D160" s="224"/>
      <c r="E160" s="224"/>
      <c r="F160" s="224"/>
      <c r="G160" s="224"/>
      <c r="H160" s="224"/>
      <c r="I160" s="224"/>
      <c r="J160" s="224"/>
      <c r="K160" s="224"/>
    </row>
    <row r="162" spans="1:14" x14ac:dyDescent="0.2">
      <c r="A162" s="371" t="s">
        <v>206</v>
      </c>
      <c r="B162" s="372"/>
      <c r="C162" s="372"/>
      <c r="D162" s="372"/>
      <c r="E162" s="372"/>
      <c r="F162" s="372"/>
      <c r="L162" s="197"/>
    </row>
    <row r="163" spans="1:14" ht="38.25" x14ac:dyDescent="0.2">
      <c r="A163" s="225" t="s">
        <v>176</v>
      </c>
      <c r="B163" s="200" t="str">
        <f>B148</f>
        <v>Residential</v>
      </c>
      <c r="C163" s="200" t="str">
        <f t="shared" ref="C163:H163" si="46">C148</f>
        <v>GS&lt;50</v>
      </c>
      <c r="D163" s="200" t="str">
        <f t="shared" si="46"/>
        <v>GS&gt;50</v>
      </c>
      <c r="E163" s="200" t="str">
        <f t="shared" si="46"/>
        <v>Street 
Lights</v>
      </c>
      <c r="F163" s="200" t="str">
        <f t="shared" si="46"/>
        <v>Unmetered Scattered Load</v>
      </c>
      <c r="G163" s="200" t="str">
        <f t="shared" si="46"/>
        <v>Sentinel Lights</v>
      </c>
      <c r="H163" s="200" t="str">
        <f t="shared" si="46"/>
        <v>Embedded Distributor</v>
      </c>
      <c r="L163" s="215"/>
    </row>
    <row r="164" spans="1:14" x14ac:dyDescent="0.2">
      <c r="A164" s="363" t="s">
        <v>207</v>
      </c>
      <c r="B164" s="363"/>
      <c r="C164" s="363"/>
      <c r="D164" s="363"/>
      <c r="E164" s="363"/>
      <c r="F164" s="363"/>
      <c r="G164" s="363"/>
      <c r="H164" s="363"/>
    </row>
    <row r="165" spans="1:14" x14ac:dyDescent="0.2">
      <c r="A165" s="236">
        <f t="shared" ref="A165:A174" si="47">A150</f>
        <v>2006</v>
      </c>
      <c r="B165" s="299"/>
      <c r="C165" s="299"/>
      <c r="D165" s="299"/>
      <c r="E165" s="299"/>
      <c r="F165" s="299"/>
      <c r="G165" s="299"/>
      <c r="H165" s="299"/>
      <c r="N165" s="227"/>
    </row>
    <row r="166" spans="1:14" x14ac:dyDescent="0.2">
      <c r="A166" s="204">
        <f t="shared" si="47"/>
        <v>2007</v>
      </c>
      <c r="B166" s="226">
        <f>B151/B150-1</f>
        <v>8.8367308771273301E-3</v>
      </c>
      <c r="C166" s="226">
        <f t="shared" ref="C166:G166" si="48">C151/C150-1</f>
        <v>8.8367308771275521E-3</v>
      </c>
      <c r="D166" s="226">
        <f t="shared" si="48"/>
        <v>8.8367308771273301E-3</v>
      </c>
      <c r="E166" s="226">
        <f t="shared" si="48"/>
        <v>3.2792858444161688E-3</v>
      </c>
      <c r="F166" s="226">
        <f t="shared" si="48"/>
        <v>-1.4285714285714235E-2</v>
      </c>
      <c r="G166" s="226">
        <f t="shared" si="48"/>
        <v>-0.20952380952380956</v>
      </c>
      <c r="H166" s="226"/>
    </row>
    <row r="167" spans="1:14" x14ac:dyDescent="0.2">
      <c r="A167" s="204">
        <f t="shared" si="47"/>
        <v>2008</v>
      </c>
      <c r="B167" s="226">
        <f t="shared" ref="B167:H174" si="49">B152/B151-1</f>
        <v>5.0516753950966553E-3</v>
      </c>
      <c r="C167" s="226">
        <f t="shared" si="49"/>
        <v>5.0516753950964333E-3</v>
      </c>
      <c r="D167" s="226">
        <f t="shared" si="49"/>
        <v>5.0516753950968774E-3</v>
      </c>
      <c r="E167" s="226">
        <f t="shared" si="49"/>
        <v>3.2685672780097264E-3</v>
      </c>
      <c r="F167" s="226">
        <f t="shared" si="49"/>
        <v>-1.4492753623188359E-2</v>
      </c>
      <c r="G167" s="226">
        <f t="shared" si="49"/>
        <v>-0.26506024096385539</v>
      </c>
      <c r="H167" s="226">
        <f t="shared" si="49"/>
        <v>0</v>
      </c>
    </row>
    <row r="168" spans="1:14" x14ac:dyDescent="0.2">
      <c r="A168" s="204">
        <f t="shared" si="47"/>
        <v>2009</v>
      </c>
      <c r="B168" s="226">
        <f t="shared" si="49"/>
        <v>1.156704865920366E-2</v>
      </c>
      <c r="C168" s="226">
        <f t="shared" si="49"/>
        <v>2.3276488467075085E-2</v>
      </c>
      <c r="D168" s="226">
        <f t="shared" si="49"/>
        <v>2.3670487033947252E-2</v>
      </c>
      <c r="E168" s="226">
        <f t="shared" si="49"/>
        <v>3.2579185520362763E-3</v>
      </c>
      <c r="F168" s="226">
        <f t="shared" si="49"/>
        <v>0</v>
      </c>
      <c r="G168" s="226">
        <f t="shared" si="49"/>
        <v>-0.36065573770491799</v>
      </c>
      <c r="H168" s="226">
        <f t="shared" si="49"/>
        <v>0</v>
      </c>
    </row>
    <row r="169" spans="1:14" x14ac:dyDescent="0.2">
      <c r="A169" s="204">
        <f t="shared" si="47"/>
        <v>2010</v>
      </c>
      <c r="B169" s="226">
        <f t="shared" si="49"/>
        <v>1.3397669524151778E-2</v>
      </c>
      <c r="C169" s="226">
        <f t="shared" si="49"/>
        <v>4.0124832813196676E-2</v>
      </c>
      <c r="D169" s="226">
        <f t="shared" si="49"/>
        <v>-4.4444444444444398E-2</v>
      </c>
      <c r="E169" s="226">
        <f t="shared" si="49"/>
        <v>3.2473389861085167E-3</v>
      </c>
      <c r="F169" s="226">
        <f t="shared" si="49"/>
        <v>-1.4705882352941124E-2</v>
      </c>
      <c r="G169" s="226">
        <f t="shared" si="49"/>
        <v>-0.55128205128205132</v>
      </c>
      <c r="H169" s="226">
        <f t="shared" si="49"/>
        <v>0</v>
      </c>
    </row>
    <row r="170" spans="1:14" x14ac:dyDescent="0.2">
      <c r="A170" s="204">
        <f t="shared" si="47"/>
        <v>2011</v>
      </c>
      <c r="B170" s="226">
        <f t="shared" si="49"/>
        <v>6.1290649376963824E-3</v>
      </c>
      <c r="C170" s="226">
        <f t="shared" si="49"/>
        <v>2.3574796399485676E-2</v>
      </c>
      <c r="D170" s="226">
        <f t="shared" si="49"/>
        <v>-0.11627906976744184</v>
      </c>
      <c r="E170" s="226">
        <f t="shared" si="49"/>
        <v>3.2368279086494312E-3</v>
      </c>
      <c r="F170" s="226">
        <f t="shared" si="49"/>
        <v>-2.9850746268656692E-2</v>
      </c>
      <c r="G170" s="226">
        <f t="shared" si="49"/>
        <v>-0.6</v>
      </c>
      <c r="H170" s="226">
        <f t="shared" si="49"/>
        <v>0</v>
      </c>
    </row>
    <row r="171" spans="1:14" x14ac:dyDescent="0.2">
      <c r="A171" s="204">
        <f t="shared" si="47"/>
        <v>2012</v>
      </c>
      <c r="B171" s="226">
        <f t="shared" si="49"/>
        <v>7.6524190706337425E-3</v>
      </c>
      <c r="C171" s="226">
        <f t="shared" si="49"/>
        <v>9.2127303182578668E-3</v>
      </c>
      <c r="D171" s="226">
        <f t="shared" si="49"/>
        <v>-6.315789473684208E-2</v>
      </c>
      <c r="E171" s="226">
        <f t="shared" si="49"/>
        <v>3.2263846567486265E-3</v>
      </c>
      <c r="F171" s="226">
        <f t="shared" si="49"/>
        <v>-3.0769230769230771E-2</v>
      </c>
      <c r="G171" s="226">
        <f t="shared" si="49"/>
        <v>0</v>
      </c>
      <c r="H171" s="226">
        <f t="shared" si="49"/>
        <v>0</v>
      </c>
    </row>
    <row r="172" spans="1:14" x14ac:dyDescent="0.2">
      <c r="A172" s="204">
        <f t="shared" si="47"/>
        <v>2013</v>
      </c>
      <c r="B172" s="226">
        <f t="shared" si="49"/>
        <v>7.4943792155883759E-3</v>
      </c>
      <c r="C172" s="226">
        <f t="shared" si="49"/>
        <v>2.0746887966804906E-3</v>
      </c>
      <c r="D172" s="226">
        <f t="shared" si="49"/>
        <v>0</v>
      </c>
      <c r="E172" s="226">
        <f t="shared" si="49"/>
        <v>3.2160085760228885E-3</v>
      </c>
      <c r="F172" s="226">
        <f t="shared" si="49"/>
        <v>-1.5873015873015928E-2</v>
      </c>
      <c r="G172" s="226">
        <f t="shared" si="49"/>
        <v>0</v>
      </c>
      <c r="H172" s="226">
        <f t="shared" si="49"/>
        <v>0</v>
      </c>
    </row>
    <row r="173" spans="1:14" x14ac:dyDescent="0.2">
      <c r="A173" s="204">
        <f t="shared" si="47"/>
        <v>2014</v>
      </c>
      <c r="B173" s="226">
        <f t="shared" si="49"/>
        <v>7.041904289610601E-3</v>
      </c>
      <c r="C173" s="226">
        <f t="shared" si="49"/>
        <v>5.7971014492752548E-3</v>
      </c>
      <c r="D173" s="226">
        <f t="shared" si="49"/>
        <v>1.1235955056179803E-2</v>
      </c>
      <c r="E173" s="226">
        <f t="shared" si="49"/>
        <v>3.2056990204809566E-3</v>
      </c>
      <c r="F173" s="226">
        <f t="shared" si="49"/>
        <v>0</v>
      </c>
      <c r="G173" s="226">
        <f t="shared" si="49"/>
        <v>0</v>
      </c>
      <c r="H173" s="226">
        <f t="shared" si="49"/>
        <v>0</v>
      </c>
    </row>
    <row r="174" spans="1:14" x14ac:dyDescent="0.2">
      <c r="A174" s="204">
        <f t="shared" si="47"/>
        <v>2015</v>
      </c>
      <c r="B174" s="226">
        <f t="shared" si="49"/>
        <v>6.3032451863889172E-3</v>
      </c>
      <c r="C174" s="226">
        <f t="shared" si="49"/>
        <v>5.3519967064634688E-3</v>
      </c>
      <c r="D174" s="226">
        <f t="shared" si="49"/>
        <v>2.7777777777777679E-2</v>
      </c>
      <c r="E174" s="226">
        <f t="shared" si="49"/>
        <v>3.1954553523876328E-3</v>
      </c>
      <c r="F174" s="226">
        <f t="shared" si="49"/>
        <v>0</v>
      </c>
      <c r="G174" s="226">
        <f t="shared" si="49"/>
        <v>0</v>
      </c>
      <c r="H174" s="226">
        <f t="shared" si="49"/>
        <v>0</v>
      </c>
    </row>
    <row r="175" spans="1:14" x14ac:dyDescent="0.2">
      <c r="A175" s="204" t="s">
        <v>208</v>
      </c>
      <c r="B175" s="226">
        <f>'Rate Class Customer Model'!B31-1</f>
        <v>8.2312778657060992E-3</v>
      </c>
      <c r="C175" s="226">
        <f>'Rate Class Customer Model'!C31-1</f>
        <v>1.3153612786812818E-2</v>
      </c>
      <c r="D175" s="226">
        <f>'Rate Class Customer Model'!D31-1</f>
        <v>-1.4856948388836777E-2</v>
      </c>
      <c r="E175" s="226">
        <f>'Rate Class Customer Model'!E31-1</f>
        <v>3.242355657109286E-3</v>
      </c>
      <c r="F175" s="226">
        <f>'Rate Class Customer Model'!F31-1</f>
        <v>-1.3463099948366919E-2</v>
      </c>
      <c r="G175" s="226">
        <f>'Rate Class Customer Model'!G31-1</f>
        <v>-0.25160749081645251</v>
      </c>
      <c r="H175" s="226">
        <f>'Rate Class Customer Model'!H31-1</f>
        <v>0</v>
      </c>
    </row>
    <row r="176" spans="1:14" x14ac:dyDescent="0.2">
      <c r="M176" s="197"/>
    </row>
    <row r="177" spans="1:13" x14ac:dyDescent="0.2">
      <c r="A177" s="364" t="s">
        <v>209</v>
      </c>
      <c r="B177" s="364"/>
      <c r="C177" s="364"/>
      <c r="D177" s="364"/>
      <c r="E177" s="364"/>
      <c r="F177" s="364"/>
      <c r="G177" s="364"/>
      <c r="H177" s="364"/>
      <c r="I177" s="364"/>
      <c r="M177" s="215"/>
    </row>
    <row r="178" spans="1:13" ht="38.25" x14ac:dyDescent="0.2">
      <c r="A178" s="187" t="s">
        <v>176</v>
      </c>
      <c r="B178" s="200" t="str">
        <f>B148</f>
        <v>Residential</v>
      </c>
      <c r="C178" s="200" t="str">
        <f t="shared" ref="C178:I178" si="50">C148</f>
        <v>GS&lt;50</v>
      </c>
      <c r="D178" s="200" t="str">
        <f t="shared" si="50"/>
        <v>GS&gt;50</v>
      </c>
      <c r="E178" s="200" t="str">
        <f t="shared" si="50"/>
        <v>Street 
Lights</v>
      </c>
      <c r="F178" s="200" t="str">
        <f t="shared" si="50"/>
        <v>Unmetered Scattered Load</v>
      </c>
      <c r="G178" s="200" t="str">
        <f t="shared" si="50"/>
        <v>Sentinel Lights</v>
      </c>
      <c r="H178" s="200" t="str">
        <f t="shared" si="50"/>
        <v>Embedded Distributor</v>
      </c>
      <c r="I178" s="200" t="str">
        <f t="shared" si="50"/>
        <v>Total</v>
      </c>
    </row>
    <row r="179" spans="1:13" x14ac:dyDescent="0.2">
      <c r="A179" s="373" t="s">
        <v>210</v>
      </c>
      <c r="B179" s="373"/>
      <c r="C179" s="373"/>
      <c r="D179" s="373"/>
      <c r="E179" s="373"/>
      <c r="F179" s="373"/>
      <c r="G179" s="373"/>
      <c r="H179" s="373"/>
      <c r="I179" s="373"/>
    </row>
    <row r="180" spans="1:13" x14ac:dyDescent="0.2">
      <c r="A180" s="181" t="str">
        <f>A142</f>
        <v>2016 Bridge</v>
      </c>
      <c r="B180" s="229">
        <f>'Rate Class Customer Model'!B14</f>
        <v>10301.603081592852</v>
      </c>
      <c r="C180" s="229">
        <f>'Rate Class Customer Model'!C14</f>
        <v>1237.0605612126985</v>
      </c>
      <c r="D180" s="229">
        <f>'Rate Class Customer Model'!D14</f>
        <v>92.5</v>
      </c>
      <c r="E180" s="229">
        <f>'Rate Class Customer Model'!E14</f>
        <v>2825.5</v>
      </c>
      <c r="F180" s="229">
        <f>'Rate Class Customer Model'!F14</f>
        <v>31</v>
      </c>
      <c r="G180" s="229">
        <f>'Rate Class Customer Model'!G14</f>
        <v>7</v>
      </c>
      <c r="H180" s="229">
        <f>'Rate Class Customer Model'!H14</f>
        <v>4</v>
      </c>
      <c r="I180" s="229">
        <f>SUM(B180:H180)</f>
        <v>14498.66364280555</v>
      </c>
    </row>
    <row r="181" spans="1:13" x14ac:dyDescent="0.2">
      <c r="A181" s="181" t="str">
        <f>A143</f>
        <v>2017 Test</v>
      </c>
      <c r="B181" s="229">
        <f>'Rate Class Customer Model'!B15</f>
        <v>10386.398439019657</v>
      </c>
      <c r="C181" s="229">
        <f>'Rate Class Customer Model'!C15</f>
        <v>1253.3323768287278</v>
      </c>
      <c r="D181" s="229">
        <f>'Rate Class Customer Model'!D15</f>
        <v>92.5</v>
      </c>
      <c r="E181" s="229">
        <f>'Rate Class Customer Model'!E15</f>
        <v>2825.5</v>
      </c>
      <c r="F181" s="229">
        <f>'Rate Class Customer Model'!F15</f>
        <v>31</v>
      </c>
      <c r="G181" s="229">
        <f>'Rate Class Customer Model'!G15</f>
        <v>7</v>
      </c>
      <c r="H181" s="229">
        <f>'Rate Class Customer Model'!H15</f>
        <v>4</v>
      </c>
      <c r="I181" s="229">
        <f>SUM(B181:H181)</f>
        <v>14599.730815848385</v>
      </c>
    </row>
    <row r="183" spans="1:13" x14ac:dyDescent="0.2">
      <c r="A183" s="364" t="s">
        <v>211</v>
      </c>
      <c r="B183" s="364"/>
      <c r="C183" s="364"/>
      <c r="D183" s="364"/>
      <c r="E183" s="364"/>
      <c r="F183" s="364"/>
      <c r="G183" s="364"/>
      <c r="H183" s="364"/>
    </row>
    <row r="184" spans="1:13" ht="38.25" x14ac:dyDescent="0.2">
      <c r="A184" s="187" t="s">
        <v>176</v>
      </c>
      <c r="B184" s="188" t="str">
        <f>B178</f>
        <v>Residential</v>
      </c>
      <c r="C184" s="188" t="str">
        <f t="shared" ref="C184:H184" si="51">C178</f>
        <v>GS&lt;50</v>
      </c>
      <c r="D184" s="188" t="str">
        <f t="shared" si="51"/>
        <v>GS&gt;50</v>
      </c>
      <c r="E184" s="188" t="str">
        <f t="shared" si="51"/>
        <v>Street 
Lights</v>
      </c>
      <c r="F184" s="188" t="str">
        <f t="shared" si="51"/>
        <v>Unmetered Scattered Load</v>
      </c>
      <c r="G184" s="188" t="str">
        <f t="shared" si="51"/>
        <v>Sentinel Lights</v>
      </c>
      <c r="H184" s="188" t="str">
        <f t="shared" si="51"/>
        <v>Embedded Distributor</v>
      </c>
      <c r="L184" s="215"/>
    </row>
    <row r="185" spans="1:13" x14ac:dyDescent="0.2">
      <c r="A185" s="363" t="s">
        <v>212</v>
      </c>
      <c r="B185" s="363"/>
      <c r="C185" s="363"/>
      <c r="D185" s="363"/>
      <c r="E185" s="363"/>
      <c r="F185" s="363"/>
      <c r="G185" s="363"/>
      <c r="H185" s="363"/>
      <c r="L185" s="230"/>
    </row>
    <row r="186" spans="1:13" x14ac:dyDescent="0.2">
      <c r="A186" s="192">
        <f t="shared" ref="A186:A195" si="52">A165</f>
        <v>2006</v>
      </c>
      <c r="B186" s="229">
        <f>B86</f>
        <v>9601.3510429327725</v>
      </c>
      <c r="C186" s="229">
        <f t="shared" ref="C186:G186" si="53">C86</f>
        <v>25461.471946204168</v>
      </c>
      <c r="D186" s="229">
        <f t="shared" si="53"/>
        <v>711134.72911998234</v>
      </c>
      <c r="E186" s="229">
        <f t="shared" si="53"/>
        <v>819.69935143013299</v>
      </c>
      <c r="F186" s="229">
        <f t="shared" si="53"/>
        <v>7656.1142857142859</v>
      </c>
      <c r="G186" s="229">
        <f t="shared" si="53"/>
        <v>1786.3142857142857</v>
      </c>
      <c r="H186" s="229"/>
    </row>
    <row r="187" spans="1:13" x14ac:dyDescent="0.2">
      <c r="A187" s="192">
        <f t="shared" si="52"/>
        <v>2007</v>
      </c>
      <c r="B187" s="229">
        <f t="shared" ref="B187:H195" si="54">B87</f>
        <v>9802.9996717624217</v>
      </c>
      <c r="C187" s="229">
        <f t="shared" si="54"/>
        <v>25205.73531684811</v>
      </c>
      <c r="D187" s="229">
        <f t="shared" si="54"/>
        <v>645093.58261869755</v>
      </c>
      <c r="E187" s="229">
        <f t="shared" si="54"/>
        <v>875.11094243689854</v>
      </c>
      <c r="F187" s="229">
        <f t="shared" si="54"/>
        <v>12409.217391304348</v>
      </c>
      <c r="G187" s="229">
        <f t="shared" si="54"/>
        <v>2202.4337349397592</v>
      </c>
      <c r="H187" s="229">
        <f t="shared" si="54"/>
        <v>15649459.689999998</v>
      </c>
      <c r="L187" s="215"/>
    </row>
    <row r="188" spans="1:13" x14ac:dyDescent="0.2">
      <c r="A188" s="192">
        <f t="shared" si="52"/>
        <v>2008</v>
      </c>
      <c r="B188" s="229">
        <f t="shared" si="54"/>
        <v>9512.6998830695247</v>
      </c>
      <c r="C188" s="229">
        <f t="shared" si="54"/>
        <v>24913.690310473401</v>
      </c>
      <c r="D188" s="229">
        <f t="shared" si="54"/>
        <v>652997.9386927468</v>
      </c>
      <c r="E188" s="229">
        <f t="shared" si="54"/>
        <v>831.1524307692307</v>
      </c>
      <c r="F188" s="229">
        <f t="shared" si="54"/>
        <v>8645.5</v>
      </c>
      <c r="G188" s="229">
        <f t="shared" si="54"/>
        <v>1530.1475409836066</v>
      </c>
      <c r="H188" s="229">
        <f t="shared" si="54"/>
        <v>13716194.180000002</v>
      </c>
    </row>
    <row r="189" spans="1:13" x14ac:dyDescent="0.2">
      <c r="A189" s="192">
        <f t="shared" si="52"/>
        <v>2009</v>
      </c>
      <c r="B189" s="229">
        <f t="shared" si="54"/>
        <v>9186.4834454083466</v>
      </c>
      <c r="C189" s="229">
        <f t="shared" si="54"/>
        <v>24116.562639322336</v>
      </c>
      <c r="D189" s="229">
        <f t="shared" si="54"/>
        <v>560286.07999999996</v>
      </c>
      <c r="E189" s="229">
        <f t="shared" si="54"/>
        <v>751.35955258885087</v>
      </c>
      <c r="F189" s="229">
        <f t="shared" si="54"/>
        <v>8395.7647058823532</v>
      </c>
      <c r="G189" s="229">
        <f t="shared" si="54"/>
        <v>1304.0031225604996</v>
      </c>
      <c r="H189" s="229">
        <f t="shared" si="54"/>
        <v>12774443.85</v>
      </c>
    </row>
    <row r="190" spans="1:13" x14ac:dyDescent="0.2">
      <c r="A190" s="192">
        <f t="shared" si="52"/>
        <v>2010</v>
      </c>
      <c r="B190" s="229">
        <f t="shared" si="54"/>
        <v>9549.2942964238682</v>
      </c>
      <c r="C190" s="229">
        <f t="shared" si="54"/>
        <v>23869.172738962709</v>
      </c>
      <c r="D190" s="229">
        <f t="shared" si="54"/>
        <v>610224.95813953492</v>
      </c>
      <c r="E190" s="229">
        <f t="shared" si="54"/>
        <v>866.73296169753644</v>
      </c>
      <c r="F190" s="229">
        <f t="shared" si="54"/>
        <v>8224.2686567164183</v>
      </c>
      <c r="G190" s="229">
        <f t="shared" si="54"/>
        <v>1077.8587041373926</v>
      </c>
      <c r="H190" s="229">
        <f t="shared" si="54"/>
        <v>12023594.074999999</v>
      </c>
    </row>
    <row r="191" spans="1:13" x14ac:dyDescent="0.2">
      <c r="A191" s="192">
        <f t="shared" si="52"/>
        <v>2011</v>
      </c>
      <c r="B191" s="229">
        <f t="shared" si="54"/>
        <v>9240.862910939939</v>
      </c>
      <c r="C191" s="229">
        <f t="shared" si="54"/>
        <v>25657.851758793971</v>
      </c>
      <c r="D191" s="229">
        <f t="shared" si="54"/>
        <v>677097.09473684209</v>
      </c>
      <c r="E191" s="229">
        <f t="shared" si="54"/>
        <v>804.8876142677899</v>
      </c>
      <c r="F191" s="229">
        <f t="shared" si="54"/>
        <v>6206.0307692307688</v>
      </c>
      <c r="G191" s="229">
        <f t="shared" si="54"/>
        <v>851.71428571428567</v>
      </c>
      <c r="H191" s="229">
        <f t="shared" si="54"/>
        <v>13185103.85</v>
      </c>
    </row>
    <row r="192" spans="1:13" x14ac:dyDescent="0.2">
      <c r="A192" s="192">
        <f t="shared" si="52"/>
        <v>2012</v>
      </c>
      <c r="B192" s="229">
        <f t="shared" si="54"/>
        <v>9021.3827629278039</v>
      </c>
      <c r="C192" s="229">
        <f t="shared" si="54"/>
        <v>24405.664730290457</v>
      </c>
      <c r="D192" s="229">
        <f t="shared" si="54"/>
        <v>684656.99088158854</v>
      </c>
      <c r="E192" s="229">
        <f t="shared" si="54"/>
        <v>838.44112649890189</v>
      </c>
      <c r="F192" s="229">
        <f t="shared" si="54"/>
        <v>8324.730158730159</v>
      </c>
      <c r="G192" s="229">
        <f t="shared" si="54"/>
        <v>851.71428571428567</v>
      </c>
      <c r="H192" s="229">
        <f t="shared" si="54"/>
        <v>12527922.725000001</v>
      </c>
    </row>
    <row r="193" spans="1:12" x14ac:dyDescent="0.2">
      <c r="A193" s="192">
        <f t="shared" si="52"/>
        <v>2013</v>
      </c>
      <c r="B193" s="229">
        <f t="shared" si="54"/>
        <v>8806.4693280436404</v>
      </c>
      <c r="C193" s="229">
        <f t="shared" si="54"/>
        <v>23951.502277432712</v>
      </c>
      <c r="D193" s="229">
        <f t="shared" si="54"/>
        <v>667724.96176705381</v>
      </c>
      <c r="E193" s="229">
        <f t="shared" si="54"/>
        <v>895.06605709351061</v>
      </c>
      <c r="F193" s="229">
        <f t="shared" si="54"/>
        <v>8272.9206349206361</v>
      </c>
      <c r="G193" s="229">
        <f t="shared" si="54"/>
        <v>851.71428571428567</v>
      </c>
      <c r="H193" s="229">
        <f t="shared" si="54"/>
        <v>12452810.5</v>
      </c>
    </row>
    <row r="194" spans="1:12" x14ac:dyDescent="0.2">
      <c r="A194" s="192">
        <f t="shared" si="52"/>
        <v>2014</v>
      </c>
      <c r="B194" s="229">
        <f t="shared" si="54"/>
        <v>8778.3481558083422</v>
      </c>
      <c r="C194" s="229">
        <f t="shared" si="54"/>
        <v>24492.864553314121</v>
      </c>
      <c r="D194" s="229">
        <f t="shared" si="54"/>
        <v>637182</v>
      </c>
      <c r="E194" s="229">
        <f t="shared" si="54"/>
        <v>817.35948872714357</v>
      </c>
      <c r="F194" s="229">
        <f t="shared" si="54"/>
        <v>8376.677419354839</v>
      </c>
      <c r="G194" s="229">
        <f t="shared" si="54"/>
        <v>851.71428571428567</v>
      </c>
      <c r="H194" s="229">
        <f t="shared" si="54"/>
        <v>13037808.375</v>
      </c>
    </row>
    <row r="195" spans="1:12" x14ac:dyDescent="0.2">
      <c r="A195" s="192">
        <f t="shared" si="52"/>
        <v>2015</v>
      </c>
      <c r="B195" s="229">
        <f t="shared" si="54"/>
        <v>8881.7242965500373</v>
      </c>
      <c r="C195" s="229">
        <f t="shared" si="54"/>
        <v>23441.4438984439</v>
      </c>
      <c r="D195" s="229">
        <f t="shared" si="54"/>
        <v>673561.36941101635</v>
      </c>
      <c r="E195" s="229">
        <f t="shared" si="54"/>
        <v>838.18389363144672</v>
      </c>
      <c r="F195" s="229">
        <f t="shared" si="54"/>
        <v>8374.4193548387084</v>
      </c>
      <c r="G195" s="229">
        <f t="shared" si="54"/>
        <v>851.71428571428567</v>
      </c>
      <c r="H195" s="229">
        <f t="shared" si="54"/>
        <v>12048303.015000001</v>
      </c>
    </row>
    <row r="196" spans="1:12" x14ac:dyDescent="0.2">
      <c r="A196" s="223"/>
      <c r="B196" s="224"/>
      <c r="C196" s="224"/>
      <c r="D196" s="224"/>
      <c r="E196" s="224"/>
    </row>
    <row r="197" spans="1:12" x14ac:dyDescent="0.2">
      <c r="A197" s="364" t="s">
        <v>213</v>
      </c>
      <c r="B197" s="364"/>
      <c r="C197" s="364"/>
      <c r="D197" s="364"/>
      <c r="E197" s="364"/>
      <c r="F197" s="364"/>
      <c r="G197" s="364"/>
      <c r="H197" s="364"/>
    </row>
    <row r="198" spans="1:12" ht="38.25" x14ac:dyDescent="0.2">
      <c r="A198" s="297" t="s">
        <v>176</v>
      </c>
      <c r="B198" s="298" t="str">
        <f>B184</f>
        <v>Residential</v>
      </c>
      <c r="C198" s="298" t="str">
        <f t="shared" ref="C198:H198" si="55">C184</f>
        <v>GS&lt;50</v>
      </c>
      <c r="D198" s="298" t="str">
        <f t="shared" si="55"/>
        <v>GS&gt;50</v>
      </c>
      <c r="E198" s="298" t="str">
        <f t="shared" si="55"/>
        <v>Street 
Lights</v>
      </c>
      <c r="F198" s="188" t="str">
        <f t="shared" si="55"/>
        <v>Unmetered Scattered Load</v>
      </c>
      <c r="G198" s="188" t="str">
        <f t="shared" si="55"/>
        <v>Sentinel Lights</v>
      </c>
      <c r="H198" s="188" t="str">
        <f t="shared" si="55"/>
        <v>Embedded Distributor</v>
      </c>
      <c r="L198" s="232"/>
    </row>
    <row r="199" spans="1:12" x14ac:dyDescent="0.2">
      <c r="A199" s="363" t="s">
        <v>214</v>
      </c>
      <c r="B199" s="363"/>
      <c r="C199" s="363"/>
      <c r="D199" s="363"/>
      <c r="E199" s="363"/>
      <c r="F199" s="363"/>
      <c r="G199" s="363"/>
      <c r="H199" s="363"/>
      <c r="L199" s="230"/>
    </row>
    <row r="200" spans="1:12" x14ac:dyDescent="0.2">
      <c r="A200" s="236">
        <f t="shared" ref="A200:A209" si="56">A186</f>
        <v>2006</v>
      </c>
      <c r="B200" s="299"/>
      <c r="C200" s="299"/>
      <c r="D200" s="299"/>
      <c r="E200" s="299"/>
      <c r="F200" s="299"/>
      <c r="G200" s="299"/>
      <c r="H200" s="299"/>
      <c r="L200" s="231"/>
    </row>
    <row r="201" spans="1:12" x14ac:dyDescent="0.2">
      <c r="A201" s="204">
        <f t="shared" si="56"/>
        <v>2007</v>
      </c>
      <c r="B201" s="226">
        <f>B187/B186-1</f>
        <v>2.1002109799753255E-2</v>
      </c>
      <c r="C201" s="226">
        <f>C187/C186-1</f>
        <v>-1.0044063041460771E-2</v>
      </c>
      <c r="D201" s="226">
        <f>D187/D186-1</f>
        <v>-9.2867277882785482E-2</v>
      </c>
      <c r="E201" s="226">
        <f>E187/E186-1</f>
        <v>6.7599896120557723E-2</v>
      </c>
      <c r="F201" s="226">
        <f t="shared" ref="F201:G201" si="57">F187/F186-1</f>
        <v>0.62082447155458254</v>
      </c>
      <c r="G201" s="226">
        <f t="shared" si="57"/>
        <v>0.2329486208296665</v>
      </c>
      <c r="H201" s="226"/>
      <c r="L201" s="233"/>
    </row>
    <row r="202" spans="1:12" x14ac:dyDescent="0.2">
      <c r="A202" s="204">
        <f t="shared" si="56"/>
        <v>2008</v>
      </c>
      <c r="B202" s="226">
        <f t="shared" ref="B202:B209" si="58">B188/B187-1</f>
        <v>-2.9613363094268652E-2</v>
      </c>
      <c r="C202" s="226">
        <f t="shared" ref="C202:E209" si="59">C188/C187-1</f>
        <v>-1.1586450571806961E-2</v>
      </c>
      <c r="D202" s="226">
        <f t="shared" si="59"/>
        <v>1.2253037833615199E-2</v>
      </c>
      <c r="E202" s="226">
        <f t="shared" si="59"/>
        <v>-5.0231930074211784E-2</v>
      </c>
      <c r="F202" s="226">
        <f t="shared" ref="F202:H202" si="60">F188/F187-1</f>
        <v>-0.30330014154975971</v>
      </c>
      <c r="G202" s="226">
        <f t="shared" si="60"/>
        <v>-0.30524695626065723</v>
      </c>
      <c r="H202" s="226">
        <f t="shared" si="60"/>
        <v>-0.12353560750952652</v>
      </c>
      <c r="L202" s="233"/>
    </row>
    <row r="203" spans="1:12" x14ac:dyDescent="0.2">
      <c r="A203" s="204">
        <f t="shared" si="56"/>
        <v>2009</v>
      </c>
      <c r="B203" s="226">
        <f t="shared" si="58"/>
        <v>-3.429272884365564E-2</v>
      </c>
      <c r="C203" s="226">
        <f t="shared" si="59"/>
        <v>-3.1995567947473602E-2</v>
      </c>
      <c r="D203" s="226">
        <f t="shared" si="59"/>
        <v>-0.14197879227360055</v>
      </c>
      <c r="E203" s="226">
        <f t="shared" si="59"/>
        <v>-9.6002700860216006E-2</v>
      </c>
      <c r="F203" s="226">
        <f t="shared" ref="F203:H203" si="61">F189/F188-1</f>
        <v>-2.8886159749886842E-2</v>
      </c>
      <c r="G203" s="226">
        <f t="shared" si="61"/>
        <v>-0.14779255749268294</v>
      </c>
      <c r="H203" s="226">
        <f t="shared" si="61"/>
        <v>-6.8659740277897008E-2</v>
      </c>
      <c r="L203" s="231"/>
    </row>
    <row r="204" spans="1:12" x14ac:dyDescent="0.2">
      <c r="A204" s="204">
        <f t="shared" si="56"/>
        <v>2010</v>
      </c>
      <c r="B204" s="226">
        <f t="shared" si="58"/>
        <v>3.9493986264881764E-2</v>
      </c>
      <c r="C204" s="226">
        <f t="shared" si="59"/>
        <v>-1.0258091257012492E-2</v>
      </c>
      <c r="D204" s="226">
        <f t="shared" si="59"/>
        <v>8.9131034880493454E-2</v>
      </c>
      <c r="E204" s="226">
        <f t="shared" si="59"/>
        <v>0.15355286122490908</v>
      </c>
      <c r="F204" s="226">
        <f t="shared" ref="F204:H204" si="62">F190/F189-1</f>
        <v>-2.0426495402590228E-2</v>
      </c>
      <c r="G204" s="226">
        <f t="shared" si="62"/>
        <v>-0.17342321848053321</v>
      </c>
      <c r="H204" s="226">
        <f t="shared" si="62"/>
        <v>-5.8777492297639289E-2</v>
      </c>
      <c r="L204" s="231"/>
    </row>
    <row r="205" spans="1:12" x14ac:dyDescent="0.2">
      <c r="A205" s="204">
        <f t="shared" si="56"/>
        <v>2011</v>
      </c>
      <c r="B205" s="226">
        <f t="shared" si="58"/>
        <v>-3.2298866901550483E-2</v>
      </c>
      <c r="C205" s="226">
        <f t="shared" si="59"/>
        <v>7.493678307968854E-2</v>
      </c>
      <c r="D205" s="226">
        <f t="shared" si="59"/>
        <v>0.10958603987812654</v>
      </c>
      <c r="E205" s="226">
        <f t="shared" si="59"/>
        <v>-7.13545580505206E-2</v>
      </c>
      <c r="F205" s="226">
        <f t="shared" ref="F205:H205" si="63">F191/F190-1</f>
        <v>-0.24540028684951076</v>
      </c>
      <c r="G205" s="226">
        <f t="shared" si="63"/>
        <v>-0.20980896434295593</v>
      </c>
      <c r="H205" s="226">
        <f t="shared" si="63"/>
        <v>9.6602543944415364E-2</v>
      </c>
      <c r="L205" s="231"/>
    </row>
    <row r="206" spans="1:12" x14ac:dyDescent="0.2">
      <c r="A206" s="204">
        <f t="shared" si="56"/>
        <v>2012</v>
      </c>
      <c r="B206" s="226">
        <f t="shared" si="58"/>
        <v>-2.3751044694354295E-2</v>
      </c>
      <c r="C206" s="226">
        <f t="shared" si="59"/>
        <v>-4.880326849945027E-2</v>
      </c>
      <c r="D206" s="226">
        <f t="shared" si="59"/>
        <v>1.1165158148676912E-2</v>
      </c>
      <c r="E206" s="226">
        <f t="shared" si="59"/>
        <v>4.1687201587311984E-2</v>
      </c>
      <c r="F206" s="226">
        <f t="shared" ref="F206:H206" si="64">F192/F191-1</f>
        <v>0.34139363278761192</v>
      </c>
      <c r="G206" s="226">
        <f t="shared" si="64"/>
        <v>0</v>
      </c>
      <c r="H206" s="226">
        <f t="shared" si="64"/>
        <v>-4.9842696157451849E-2</v>
      </c>
      <c r="L206" s="231"/>
    </row>
    <row r="207" spans="1:12" x14ac:dyDescent="0.2">
      <c r="A207" s="204">
        <f t="shared" si="56"/>
        <v>2013</v>
      </c>
      <c r="B207" s="226">
        <f t="shared" si="58"/>
        <v>-2.3822671150516062E-2</v>
      </c>
      <c r="C207" s="226">
        <f t="shared" si="59"/>
        <v>-1.8608895019936567E-2</v>
      </c>
      <c r="D207" s="226">
        <f t="shared" si="59"/>
        <v>-2.4730674396141739E-2</v>
      </c>
      <c r="E207" s="226">
        <f t="shared" si="59"/>
        <v>6.7535965024829725E-2</v>
      </c>
      <c r="F207" s="226">
        <f t="shared" ref="F207:H207" si="65">F193/F192-1</f>
        <v>-6.2235679501503327E-3</v>
      </c>
      <c r="G207" s="226">
        <f t="shared" si="65"/>
        <v>0</v>
      </c>
      <c r="H207" s="226">
        <f t="shared" si="65"/>
        <v>-5.9955849544084394E-3</v>
      </c>
      <c r="L207" s="231"/>
    </row>
    <row r="208" spans="1:12" x14ac:dyDescent="0.2">
      <c r="A208" s="204">
        <f t="shared" si="56"/>
        <v>2014</v>
      </c>
      <c r="B208" s="226">
        <f t="shared" si="58"/>
        <v>-3.1932402405295823E-3</v>
      </c>
      <c r="C208" s="226">
        <f t="shared" si="59"/>
        <v>2.260243510451887E-2</v>
      </c>
      <c r="D208" s="226">
        <f t="shared" si="59"/>
        <v>-4.5741830118534943E-2</v>
      </c>
      <c r="E208" s="226">
        <f t="shared" si="59"/>
        <v>-8.6816573760710503E-2</v>
      </c>
      <c r="F208" s="226">
        <f t="shared" ref="F208:H208" si="66">F194/F193-1</f>
        <v>1.2541735743993199E-2</v>
      </c>
      <c r="G208" s="226">
        <f t="shared" si="66"/>
        <v>0</v>
      </c>
      <c r="H208" s="226">
        <f t="shared" si="66"/>
        <v>4.6977176357096306E-2</v>
      </c>
      <c r="L208" s="231"/>
    </row>
    <row r="209" spans="1:13" x14ac:dyDescent="0.2">
      <c r="A209" s="204">
        <f t="shared" si="56"/>
        <v>2015</v>
      </c>
      <c r="B209" s="226">
        <f t="shared" si="58"/>
        <v>1.1776263473133541E-2</v>
      </c>
      <c r="C209" s="226">
        <f t="shared" si="59"/>
        <v>-4.2927631130347033E-2</v>
      </c>
      <c r="D209" s="226">
        <f t="shared" si="59"/>
        <v>5.7094157416587965E-2</v>
      </c>
      <c r="E209" s="226">
        <f t="shared" si="59"/>
        <v>2.5477657250584596E-2</v>
      </c>
      <c r="F209" s="226">
        <f t="shared" ref="F209:H209" si="67">F195/F194-1</f>
        <v>-2.6956565271485378E-4</v>
      </c>
      <c r="G209" s="226">
        <f t="shared" si="67"/>
        <v>0</v>
      </c>
      <c r="H209" s="226">
        <f t="shared" si="67"/>
        <v>-7.5895068522204734E-2</v>
      </c>
      <c r="L209" s="231"/>
    </row>
    <row r="210" spans="1:13" x14ac:dyDescent="0.2">
      <c r="A210" s="204" t="str">
        <f>A175</f>
        <v>Geometric Mean</v>
      </c>
      <c r="B210" s="226">
        <f>'Rate Class Energy Model'!H51-1</f>
        <v>-8.6190970392783228E-3</v>
      </c>
      <c r="C210" s="226">
        <f>'Rate Class Energy Model'!I51-1</f>
        <v>-9.1424890678903914E-3</v>
      </c>
      <c r="D210" s="226">
        <f>'Rate Class Energy Model'!J51-1</f>
        <v>-6.0132688749279239E-3</v>
      </c>
      <c r="E210" s="226">
        <f>'Rate Class Energy Model'!K51-1</f>
        <v>2.4808379152156945E-3</v>
      </c>
      <c r="F210" s="226">
        <f>'Rate Class Energy Model'!L51-1</f>
        <v>1.0013936437867743E-2</v>
      </c>
      <c r="G210" s="226">
        <f>'Rate Class Energy Model'!M51-1</f>
        <v>-7.9000144093052893E-2</v>
      </c>
      <c r="H210" s="226">
        <f>'Rate Class Energy Model'!N51-1</f>
        <v>-3.2160558130494898E-2</v>
      </c>
      <c r="L210" s="234"/>
    </row>
    <row r="211" spans="1:13" x14ac:dyDescent="0.2">
      <c r="L211" s="234"/>
    </row>
    <row r="212" spans="1:13" x14ac:dyDescent="0.2">
      <c r="A212" s="370" t="s">
        <v>215</v>
      </c>
      <c r="B212" s="364"/>
      <c r="C212" s="364"/>
      <c r="D212" s="364"/>
      <c r="E212" s="364"/>
      <c r="F212" s="364"/>
      <c r="G212" s="364"/>
      <c r="H212" s="364"/>
    </row>
    <row r="213" spans="1:13" ht="38.25" x14ac:dyDescent="0.2">
      <c r="A213" s="243" t="s">
        <v>176</v>
      </c>
      <c r="B213" s="235" t="str">
        <f>B198</f>
        <v>Residential</v>
      </c>
      <c r="C213" s="235" t="str">
        <f t="shared" ref="C213:H213" si="68">C198</f>
        <v>GS&lt;50</v>
      </c>
      <c r="D213" s="235" t="str">
        <f t="shared" si="68"/>
        <v>GS&gt;50</v>
      </c>
      <c r="E213" s="235" t="str">
        <f t="shared" si="68"/>
        <v>Street 
Lights</v>
      </c>
      <c r="F213" s="235" t="str">
        <f t="shared" si="68"/>
        <v>Unmetered Scattered Load</v>
      </c>
      <c r="G213" s="235" t="str">
        <f t="shared" si="68"/>
        <v>Sentinel Lights</v>
      </c>
      <c r="H213" s="235" t="str">
        <f t="shared" si="68"/>
        <v>Embedded Distributor</v>
      </c>
    </row>
    <row r="214" spans="1:13" x14ac:dyDescent="0.2">
      <c r="A214" s="363" t="s">
        <v>216</v>
      </c>
      <c r="B214" s="363"/>
      <c r="C214" s="363"/>
      <c r="D214" s="363"/>
      <c r="E214" s="363"/>
      <c r="F214" s="363"/>
      <c r="G214" s="363"/>
      <c r="H214" s="363"/>
    </row>
    <row r="215" spans="1:13" x14ac:dyDescent="0.2">
      <c r="A215" s="300" t="str">
        <f>A180</f>
        <v>2016 Bridge</v>
      </c>
      <c r="B215" s="222">
        <f>'Rate Class Energy Model'!H35</f>
        <v>8881.7242965500373</v>
      </c>
      <c r="C215" s="222">
        <f>'Rate Class Energy Model'!I35</f>
        <v>23441.4438984439</v>
      </c>
      <c r="D215" s="222">
        <f>'Rate Class Energy Model'!J35</f>
        <v>673561.36941101635</v>
      </c>
      <c r="E215" s="222">
        <f>'Rate Class Energy Model'!K35</f>
        <v>840.26329201469071</v>
      </c>
      <c r="F215" s="222">
        <f>'Rate Class Energy Model'!L35</f>
        <v>8458.2802579621148</v>
      </c>
      <c r="G215" s="222">
        <f>'Rate Class Energy Model'!M35</f>
        <v>851.71428571428567</v>
      </c>
      <c r="H215" s="222">
        <f>'Rate Class Energy Model'!N35</f>
        <v>11660822.865512276</v>
      </c>
    </row>
    <row r="216" spans="1:13" x14ac:dyDescent="0.2">
      <c r="A216" s="207" t="str">
        <f>A181</f>
        <v>2017 Test</v>
      </c>
      <c r="B216" s="222">
        <f>'Rate Class Energy Model'!H36</f>
        <v>8881.7242965500373</v>
      </c>
      <c r="C216" s="222">
        <f>'Rate Class Energy Model'!I36</f>
        <v>23441.4438984439</v>
      </c>
      <c r="D216" s="222">
        <f>'Rate Class Energy Model'!J36</f>
        <v>673561.36941101635</v>
      </c>
      <c r="E216" s="222">
        <f>'Rate Class Energy Model'!K36</f>
        <v>842.34784904828473</v>
      </c>
      <c r="F216" s="222">
        <f>'Rate Class Energy Model'!L36</f>
        <v>8542.9809388390186</v>
      </c>
      <c r="G216" s="222">
        <f>'Rate Class Energy Model'!M36</f>
        <v>851.71428571428567</v>
      </c>
      <c r="H216" s="222">
        <f>'Rate Class Energy Model'!N36</f>
        <v>11285804.293896565</v>
      </c>
    </row>
    <row r="218" spans="1:13" x14ac:dyDescent="0.2">
      <c r="A218" s="370" t="s">
        <v>217</v>
      </c>
      <c r="B218" s="364"/>
      <c r="C218" s="364"/>
      <c r="D218" s="364"/>
      <c r="E218" s="364"/>
      <c r="F218" s="364"/>
      <c r="G218" s="364"/>
      <c r="H218" s="364"/>
      <c r="M218" s="215"/>
    </row>
    <row r="219" spans="1:13" ht="12.75" customHeight="1" x14ac:dyDescent="0.2">
      <c r="A219" s="199" t="s">
        <v>176</v>
      </c>
      <c r="B219" s="188" t="str">
        <f>B213</f>
        <v>Residential</v>
      </c>
      <c r="C219" s="188" t="str">
        <f t="shared" ref="C219:H219" si="69">C213</f>
        <v>GS&lt;50</v>
      </c>
      <c r="D219" s="188" t="str">
        <f t="shared" si="69"/>
        <v>GS&gt;50</v>
      </c>
      <c r="E219" s="188" t="str">
        <f t="shared" si="69"/>
        <v>Street 
Lights</v>
      </c>
      <c r="F219" s="188" t="str">
        <f t="shared" si="69"/>
        <v>Unmetered Scattered Load</v>
      </c>
      <c r="G219" s="188" t="str">
        <f t="shared" si="69"/>
        <v>Sentinel Lights</v>
      </c>
      <c r="H219" s="188" t="str">
        <f t="shared" si="69"/>
        <v>Embedded Distributor</v>
      </c>
      <c r="I219" s="200" t="str">
        <f>I178</f>
        <v>Total</v>
      </c>
    </row>
    <row r="220" spans="1:13" x14ac:dyDescent="0.2">
      <c r="A220" s="363" t="s">
        <v>218</v>
      </c>
      <c r="B220" s="363"/>
      <c r="C220" s="363"/>
      <c r="D220" s="363"/>
      <c r="E220" s="363"/>
      <c r="F220" s="363"/>
      <c r="G220" s="363"/>
      <c r="H220" s="363"/>
      <c r="I220" s="363"/>
    </row>
    <row r="221" spans="1:13" x14ac:dyDescent="0.2">
      <c r="A221" s="236" t="str">
        <f>A215</f>
        <v>2016 Bridge</v>
      </c>
      <c r="B221" s="237">
        <f>B215*B180/1000000</f>
        <v>91.495998383197957</v>
      </c>
      <c r="C221" s="237">
        <f t="shared" ref="C221:H221" si="70">C215*C180/1000000</f>
        <v>28.998485744644999</v>
      </c>
      <c r="D221" s="237">
        <f t="shared" si="70"/>
        <v>62.304426670519007</v>
      </c>
      <c r="E221" s="237">
        <f t="shared" si="70"/>
        <v>2.3741639315875083</v>
      </c>
      <c r="F221" s="237">
        <f t="shared" si="70"/>
        <v>0.26220668799682556</v>
      </c>
      <c r="G221" s="237">
        <f t="shared" si="70"/>
        <v>5.9620000000000003E-3</v>
      </c>
      <c r="H221" s="237">
        <f t="shared" si="70"/>
        <v>46.643291462049106</v>
      </c>
      <c r="I221" s="302">
        <f>SUM(B221:H221)</f>
        <v>232.08453487999543</v>
      </c>
    </row>
    <row r="222" spans="1:13" x14ac:dyDescent="0.2">
      <c r="A222" s="236" t="str">
        <f>A216</f>
        <v>2017 Test</v>
      </c>
      <c r="B222" s="237">
        <f>B216*B181/1000000</f>
        <v>92.249127369490267</v>
      </c>
      <c r="C222" s="237">
        <f t="shared" ref="C222:H222" si="71">C216*C181/1000000</f>
        <v>29.379920597533971</v>
      </c>
      <c r="D222" s="237">
        <f t="shared" si="71"/>
        <v>62.304426670519007</v>
      </c>
      <c r="E222" s="237">
        <f t="shared" si="71"/>
        <v>2.3800538474859283</v>
      </c>
      <c r="F222" s="237">
        <f t="shared" si="71"/>
        <v>0.26483240910400957</v>
      </c>
      <c r="G222" s="237">
        <f t="shared" si="71"/>
        <v>5.9620000000000003E-3</v>
      </c>
      <c r="H222" s="237">
        <f t="shared" si="71"/>
        <v>45.143217175586258</v>
      </c>
      <c r="I222" s="302">
        <f>SUM(B222:H222)</f>
        <v>231.72754006971945</v>
      </c>
    </row>
    <row r="224" spans="1:13" x14ac:dyDescent="0.2">
      <c r="B224" s="364" t="s">
        <v>219</v>
      </c>
      <c r="C224" s="364"/>
      <c r="D224" s="364"/>
      <c r="E224" s="364"/>
    </row>
    <row r="225" spans="1:12" ht="38.25" x14ac:dyDescent="0.2">
      <c r="B225" s="188" t="str">
        <f>B219</f>
        <v>Residential</v>
      </c>
      <c r="C225" s="188" t="str">
        <f t="shared" ref="C225:H225" si="72">C219</f>
        <v>GS&lt;50</v>
      </c>
      <c r="D225" s="188" t="str">
        <f t="shared" si="72"/>
        <v>GS&gt;50</v>
      </c>
      <c r="E225" s="188" t="str">
        <f t="shared" si="72"/>
        <v>Street 
Lights</v>
      </c>
      <c r="F225" s="188" t="str">
        <f t="shared" si="72"/>
        <v>Unmetered Scattered Load</v>
      </c>
      <c r="G225" s="188" t="str">
        <f t="shared" si="72"/>
        <v>Sentinel Lights</v>
      </c>
      <c r="H225" s="188" t="str">
        <f t="shared" si="72"/>
        <v>Embedded Distributor</v>
      </c>
    </row>
    <row r="226" spans="1:12" x14ac:dyDescent="0.2">
      <c r="B226" s="363" t="s">
        <v>220</v>
      </c>
      <c r="C226" s="363"/>
      <c r="D226" s="363"/>
      <c r="E226" s="363"/>
      <c r="F226" s="363"/>
      <c r="G226" s="363"/>
      <c r="H226" s="363"/>
    </row>
    <row r="227" spans="1:12" x14ac:dyDescent="0.2">
      <c r="B227" s="303">
        <f>'Rate Class Energy Model'!H61</f>
        <v>0.78532972110382038</v>
      </c>
      <c r="C227" s="303">
        <f>'Rate Class Energy Model'!I61</f>
        <v>0.78532972110382038</v>
      </c>
      <c r="D227" s="303">
        <f>'Rate Class Energy Model'!J61</f>
        <v>0.57065944220764075</v>
      </c>
      <c r="E227" s="303">
        <f>'Rate Class Energy Model'!K61</f>
        <v>0</v>
      </c>
      <c r="F227" s="303">
        <f>'Rate Class Energy Model'!L61</f>
        <v>0</v>
      </c>
      <c r="G227" s="303">
        <f>'Rate Class Energy Model'!M61</f>
        <v>0</v>
      </c>
      <c r="H227" s="303">
        <f>'Rate Class Energy Model'!N61</f>
        <v>0</v>
      </c>
    </row>
    <row r="228" spans="1:12" x14ac:dyDescent="0.2">
      <c r="B228" s="238"/>
      <c r="C228" s="238"/>
      <c r="D228" s="238"/>
      <c r="E228" s="238"/>
    </row>
    <row r="229" spans="1:12" x14ac:dyDescent="0.2">
      <c r="A229" s="368" t="s">
        <v>221</v>
      </c>
      <c r="B229" s="369"/>
      <c r="C229" s="369"/>
      <c r="D229" s="369"/>
      <c r="E229" s="369"/>
      <c r="F229" s="116"/>
    </row>
    <row r="230" spans="1:12" x14ac:dyDescent="0.2">
      <c r="A230" s="239"/>
      <c r="B230" s="239">
        <v>2015</v>
      </c>
      <c r="C230" s="239">
        <v>2016</v>
      </c>
      <c r="D230" s="239">
        <v>2017</v>
      </c>
      <c r="E230" s="116"/>
      <c r="F230" s="116"/>
    </row>
    <row r="231" spans="1:12" x14ac:dyDescent="0.2">
      <c r="A231" s="240" t="s">
        <v>140</v>
      </c>
      <c r="B231" s="213">
        <f>'CDM Activity'!S18</f>
        <v>1278913.4082499032</v>
      </c>
      <c r="C231" s="213">
        <f>B231</f>
        <v>1278913.4082499032</v>
      </c>
      <c r="D231" s="213">
        <f>C231</f>
        <v>1278913.4082499032</v>
      </c>
      <c r="E231" s="116"/>
      <c r="F231" s="116"/>
    </row>
    <row r="232" spans="1:12" x14ac:dyDescent="0.2">
      <c r="A232" s="240" t="s">
        <v>141</v>
      </c>
      <c r="B232" s="213"/>
      <c r="C232" s="213">
        <f>'CDM Activity'!T19</f>
        <v>1785578.367842355</v>
      </c>
      <c r="D232" s="213">
        <f>C232</f>
        <v>1785578.367842355</v>
      </c>
      <c r="E232" s="116"/>
      <c r="F232" s="116"/>
    </row>
    <row r="233" spans="1:12" x14ac:dyDescent="0.2">
      <c r="A233" s="240" t="s">
        <v>151</v>
      </c>
      <c r="B233" s="213"/>
      <c r="C233" s="213"/>
      <c r="D233" s="213">
        <f>'CDM Activity'!U20</f>
        <v>1855380.7678423552</v>
      </c>
      <c r="E233" s="116"/>
      <c r="F233" s="116"/>
    </row>
    <row r="234" spans="1:12" ht="25.5" x14ac:dyDescent="0.2">
      <c r="A234" s="241" t="s">
        <v>222</v>
      </c>
      <c r="B234" s="213">
        <f>B231</f>
        <v>1278913.4082499032</v>
      </c>
      <c r="C234" s="213">
        <f>C232</f>
        <v>1785578.367842355</v>
      </c>
      <c r="D234" s="213">
        <f>D233</f>
        <v>1855380.7678423552</v>
      </c>
      <c r="E234" s="116"/>
      <c r="F234" s="116"/>
    </row>
    <row r="235" spans="1:12" ht="25.5" x14ac:dyDescent="0.2">
      <c r="A235" s="241" t="s">
        <v>223</v>
      </c>
      <c r="B235" s="213">
        <f>SUM(B231:B233)</f>
        <v>1278913.4082499032</v>
      </c>
      <c r="C235" s="213">
        <f>SUM(C231:C233)</f>
        <v>3064491.7760922583</v>
      </c>
      <c r="D235" s="213">
        <f>SUM(D231:D233)</f>
        <v>4919872.5439346135</v>
      </c>
      <c r="E235" s="116"/>
      <c r="F235" s="116"/>
    </row>
    <row r="236" spans="1:12" x14ac:dyDescent="0.2">
      <c r="E236" s="116"/>
      <c r="F236" s="116"/>
      <c r="G236" s="116"/>
      <c r="H236" s="116"/>
      <c r="I236" s="116"/>
      <c r="J236" s="116"/>
      <c r="K236" s="116"/>
      <c r="L236" s="116"/>
    </row>
    <row r="237" spans="1:12" s="116" customFormat="1" x14ac:dyDescent="0.2">
      <c r="A237" s="368" t="s">
        <v>224</v>
      </c>
      <c r="B237" s="369"/>
      <c r="C237" s="369"/>
      <c r="D237" s="369"/>
      <c r="E237" s="369"/>
    </row>
    <row r="238" spans="1:12" s="116" customFormat="1" x14ac:dyDescent="0.2">
      <c r="A238" s="239"/>
      <c r="B238" s="239">
        <v>2015</v>
      </c>
      <c r="C238" s="239">
        <v>2016</v>
      </c>
      <c r="D238" s="239">
        <v>2017</v>
      </c>
    </row>
    <row r="239" spans="1:12" s="116" customFormat="1" x14ac:dyDescent="0.2">
      <c r="A239" s="240" t="s">
        <v>140</v>
      </c>
      <c r="B239" s="213">
        <f>B231*'Rate Class Energy Model'!$H$70</f>
        <v>355150.53167033097</v>
      </c>
      <c r="C239" s="213">
        <f>B239</f>
        <v>355150.53167033097</v>
      </c>
      <c r="D239" s="213">
        <f>C239</f>
        <v>355150.53167033097</v>
      </c>
    </row>
    <row r="240" spans="1:12" s="116" customFormat="1" x14ac:dyDescent="0.2">
      <c r="A240" s="240" t="s">
        <v>141</v>
      </c>
      <c r="B240" s="213"/>
      <c r="C240" s="213">
        <f>C232*'Rate Class Energy Model'!$H$70</f>
        <v>495849.91648968594</v>
      </c>
      <c r="D240" s="213">
        <f>C240</f>
        <v>495849.91648968594</v>
      </c>
    </row>
    <row r="241" spans="1:13" s="116" customFormat="1" x14ac:dyDescent="0.2">
      <c r="A241" s="240" t="s">
        <v>151</v>
      </c>
      <c r="B241" s="213"/>
      <c r="C241" s="213"/>
      <c r="D241" s="213">
        <f>D233*'Rate Class Energy Model'!$H$70</f>
        <v>515233.83983582468</v>
      </c>
    </row>
    <row r="242" spans="1:13" s="116" customFormat="1" ht="25.5" x14ac:dyDescent="0.2">
      <c r="A242" s="241" t="s">
        <v>222</v>
      </c>
      <c r="B242" s="213">
        <f>B239</f>
        <v>355150.53167033097</v>
      </c>
      <c r="C242" s="213">
        <f>C240</f>
        <v>495849.91648968594</v>
      </c>
      <c r="D242" s="213">
        <f>D241</f>
        <v>515233.83983582468</v>
      </c>
    </row>
    <row r="243" spans="1:13" s="116" customFormat="1" ht="25.5" x14ac:dyDescent="0.2">
      <c r="A243" s="241" t="s">
        <v>223</v>
      </c>
      <c r="B243" s="213">
        <f>SUM(B239:B241)</f>
        <v>355150.53167033097</v>
      </c>
      <c r="C243" s="213">
        <f>SUM(C239:C241)</f>
        <v>851000.44816001691</v>
      </c>
      <c r="D243" s="213">
        <f>SUM(D239:D241)</f>
        <v>1366234.2879958416</v>
      </c>
      <c r="G243"/>
      <c r="H243"/>
    </row>
    <row r="244" spans="1:13" s="116" customFormat="1" x14ac:dyDescent="0.2">
      <c r="G244"/>
      <c r="H244"/>
    </row>
    <row r="245" spans="1:13" s="116" customFormat="1" x14ac:dyDescent="0.2">
      <c r="A245" s="368" t="s">
        <v>225</v>
      </c>
      <c r="B245" s="369"/>
      <c r="C245" s="369"/>
      <c r="D245" s="369"/>
      <c r="E245" s="369"/>
      <c r="G245"/>
      <c r="H245"/>
    </row>
    <row r="246" spans="1:13" s="116" customFormat="1" x14ac:dyDescent="0.2">
      <c r="A246" s="239"/>
      <c r="B246" s="239">
        <v>2015</v>
      </c>
      <c r="C246" s="239">
        <v>2016</v>
      </c>
      <c r="D246" s="239">
        <v>2017</v>
      </c>
      <c r="G246"/>
      <c r="H246"/>
    </row>
    <row r="247" spans="1:13" s="116" customFormat="1" x14ac:dyDescent="0.2">
      <c r="A247" s="240" t="s">
        <v>140</v>
      </c>
      <c r="B247" s="213">
        <f>B231*'Rate Class Energy Model'!$I$70</f>
        <v>185093.6996391266</v>
      </c>
      <c r="C247" s="213">
        <f>B247</f>
        <v>185093.6996391266</v>
      </c>
      <c r="D247" s="213">
        <f>C247</f>
        <v>185093.6996391266</v>
      </c>
      <c r="G247"/>
      <c r="H247"/>
    </row>
    <row r="248" spans="1:13" s="116" customFormat="1" x14ac:dyDescent="0.2">
      <c r="A248" s="240" t="s">
        <v>141</v>
      </c>
      <c r="B248" s="213"/>
      <c r="C248" s="213">
        <f>C232*'Rate Class Energy Model'!$I$70</f>
        <v>258421.95723930848</v>
      </c>
      <c r="D248" s="213">
        <f>C248</f>
        <v>258421.95723930848</v>
      </c>
      <c r="G248"/>
      <c r="H248"/>
    </row>
    <row r="249" spans="1:13" s="116" customFormat="1" x14ac:dyDescent="0.2">
      <c r="A249" s="240" t="s">
        <v>151</v>
      </c>
      <c r="B249" s="213"/>
      <c r="C249" s="213"/>
      <c r="D249" s="213">
        <f>D233*'Rate Class Energy Model'!$I$70</f>
        <v>268524.27095057862</v>
      </c>
      <c r="G249"/>
      <c r="H249"/>
    </row>
    <row r="250" spans="1:13" s="116" customFormat="1" ht="25.5" x14ac:dyDescent="0.2">
      <c r="A250" s="241" t="s">
        <v>222</v>
      </c>
      <c r="B250" s="213">
        <f>B247</f>
        <v>185093.6996391266</v>
      </c>
      <c r="C250" s="213">
        <f>C248</f>
        <v>258421.95723930848</v>
      </c>
      <c r="D250" s="213">
        <f>D249</f>
        <v>268524.27095057862</v>
      </c>
      <c r="G250"/>
      <c r="H250"/>
    </row>
    <row r="251" spans="1:13" s="116" customFormat="1" ht="25.5" x14ac:dyDescent="0.2">
      <c r="A251" s="241" t="s">
        <v>223</v>
      </c>
      <c r="B251" s="213">
        <f>SUM(B247:B249)</f>
        <v>185093.6996391266</v>
      </c>
      <c r="C251" s="213">
        <f>SUM(C247:C249)</f>
        <v>443515.65687843505</v>
      </c>
      <c r="D251" s="213">
        <f>SUM(D247:D249)</f>
        <v>712039.92782901367</v>
      </c>
      <c r="G251"/>
      <c r="H251"/>
    </row>
    <row r="252" spans="1:13" s="116" customFormat="1" x14ac:dyDescent="0.2">
      <c r="G252"/>
      <c r="H252"/>
    </row>
    <row r="253" spans="1:13" s="116" customFormat="1" x14ac:dyDescent="0.2">
      <c r="A253" s="368" t="s">
        <v>226</v>
      </c>
      <c r="B253" s="369"/>
      <c r="C253" s="369"/>
      <c r="D253" s="369"/>
      <c r="E253" s="369"/>
      <c r="G253"/>
      <c r="H253"/>
    </row>
    <row r="254" spans="1:13" s="116" customFormat="1" x14ac:dyDescent="0.2">
      <c r="A254" s="239"/>
      <c r="B254" s="239">
        <v>2015</v>
      </c>
      <c r="C254" s="239">
        <v>2016</v>
      </c>
      <c r="D254" s="239">
        <v>2017</v>
      </c>
      <c r="G254"/>
      <c r="H254"/>
      <c r="I254" s="141"/>
      <c r="J254" s="141"/>
      <c r="K254" s="141"/>
      <c r="L254" s="141"/>
      <c r="M254" s="141"/>
    </row>
    <row r="255" spans="1:13" s="116" customFormat="1" x14ac:dyDescent="0.2">
      <c r="A255" s="240" t="s">
        <v>140</v>
      </c>
      <c r="B255" s="213">
        <f>B231*'Rate Class Energy Model'!$J$70</f>
        <v>738669.17694044567</v>
      </c>
      <c r="C255" s="213">
        <f>B255</f>
        <v>738669.17694044567</v>
      </c>
      <c r="D255" s="213">
        <f>C255</f>
        <v>738669.17694044567</v>
      </c>
      <c r="G255"/>
      <c r="H255"/>
      <c r="I255" s="141"/>
      <c r="J255" s="141"/>
      <c r="K255" s="141"/>
      <c r="L255" s="141"/>
      <c r="M255" s="141"/>
    </row>
    <row r="256" spans="1:13" s="116" customFormat="1" x14ac:dyDescent="0.2">
      <c r="A256" s="240" t="s">
        <v>141</v>
      </c>
      <c r="B256" s="213"/>
      <c r="C256" s="213">
        <f>C232*'Rate Class Energy Model'!$J$70</f>
        <v>1031306.4941133605</v>
      </c>
      <c r="D256" s="213">
        <f>C256</f>
        <v>1031306.4941133605</v>
      </c>
      <c r="G256"/>
      <c r="H256"/>
      <c r="I256" s="141"/>
      <c r="J256" s="141"/>
      <c r="K256" s="141"/>
      <c r="L256" s="141"/>
      <c r="M256" s="141"/>
    </row>
    <row r="257" spans="1:13" s="116" customFormat="1" x14ac:dyDescent="0.2">
      <c r="A257" s="240" t="s">
        <v>151</v>
      </c>
      <c r="B257" s="213"/>
      <c r="C257" s="213"/>
      <c r="D257" s="213">
        <f>D233*'Rate Class Energy Model'!$J$70</f>
        <v>1071622.6570559519</v>
      </c>
      <c r="G257"/>
      <c r="H257"/>
      <c r="I257" s="141"/>
      <c r="J257" s="141"/>
      <c r="K257" s="141"/>
      <c r="L257" s="141"/>
      <c r="M257" s="141"/>
    </row>
    <row r="258" spans="1:13" s="116" customFormat="1" ht="25.5" x14ac:dyDescent="0.2">
      <c r="A258" s="241" t="s">
        <v>222</v>
      </c>
      <c r="B258" s="213">
        <f>B255</f>
        <v>738669.17694044567</v>
      </c>
      <c r="C258" s="213">
        <f>C256</f>
        <v>1031306.4941133605</v>
      </c>
      <c r="D258" s="213">
        <f>D257</f>
        <v>1071622.6570559519</v>
      </c>
      <c r="G258"/>
      <c r="H258"/>
      <c r="I258" s="141"/>
      <c r="J258" s="141"/>
      <c r="K258" s="141"/>
      <c r="L258" s="141"/>
      <c r="M258" s="141"/>
    </row>
    <row r="259" spans="1:13" s="116" customFormat="1" ht="25.5" x14ac:dyDescent="0.2">
      <c r="A259" s="241" t="s">
        <v>223</v>
      </c>
      <c r="B259" s="213">
        <f>SUM(B255:B257)</f>
        <v>738669.17694044567</v>
      </c>
      <c r="C259" s="213">
        <f>SUM(C255:C257)</f>
        <v>1769975.6710538063</v>
      </c>
      <c r="D259" s="213">
        <f>SUM(D255:D257)</f>
        <v>2841598.328109758</v>
      </c>
      <c r="G259"/>
      <c r="H259"/>
      <c r="I259" s="141"/>
      <c r="J259" s="141"/>
      <c r="K259" s="141"/>
      <c r="L259" s="141"/>
      <c r="M259" s="141"/>
    </row>
    <row r="260" spans="1:13" s="116" customFormat="1" x14ac:dyDescent="0.2"/>
    <row r="261" spans="1:13" s="116" customFormat="1" x14ac:dyDescent="0.2">
      <c r="A261" s="368" t="s">
        <v>227</v>
      </c>
      <c r="B261" s="369"/>
      <c r="C261" s="369"/>
      <c r="D261" s="369"/>
      <c r="E261" s="369"/>
    </row>
    <row r="262" spans="1:13" s="116" customFormat="1" x14ac:dyDescent="0.2">
      <c r="A262" s="242" t="s">
        <v>176</v>
      </c>
      <c r="B262" s="239" t="str">
        <f>B198</f>
        <v>Residential</v>
      </c>
      <c r="C262" s="239" t="str">
        <f>C198</f>
        <v>GS&lt;50</v>
      </c>
      <c r="D262" s="239" t="str">
        <f>D198</f>
        <v>GS&gt;50</v>
      </c>
      <c r="E262" s="239" t="s">
        <v>11</v>
      </c>
    </row>
    <row r="263" spans="1:13" s="116" customFormat="1" x14ac:dyDescent="0.2">
      <c r="A263" s="240" t="str">
        <f>A215</f>
        <v>2016 Bridge</v>
      </c>
      <c r="B263" s="213">
        <f>C239*0.5+C240*0.5</f>
        <v>425500.22408000845</v>
      </c>
      <c r="C263" s="213">
        <f>C247* 0.5 + C248* 0.5</f>
        <v>221757.82843921753</v>
      </c>
      <c r="D263" s="213">
        <f>C255*0.5 + C256* 0.5</f>
        <v>884987.83552690316</v>
      </c>
      <c r="E263" s="213">
        <f>SUM(B263:D263)</f>
        <v>1532245.8880461291</v>
      </c>
    </row>
    <row r="264" spans="1:13" s="116" customFormat="1" x14ac:dyDescent="0.2">
      <c r="A264" s="240" t="str">
        <f>A216</f>
        <v>2017 Test</v>
      </c>
      <c r="B264" s="213">
        <f>D239*0.5+D240+D241*0.5</f>
        <v>931042.10224276374</v>
      </c>
      <c r="C264" s="213">
        <f>D247*0.5 +D248+ D249*0.5</f>
        <v>485230.94253416109</v>
      </c>
      <c r="D264" s="213">
        <f>D255*0.5+D256+D257*0.5</f>
        <v>1936452.4111115593</v>
      </c>
      <c r="E264" s="213">
        <f>SUM(B264:D264)</f>
        <v>3352725.4558884841</v>
      </c>
    </row>
    <row r="265" spans="1:13" s="116" customFormat="1" x14ac:dyDescent="0.2"/>
    <row r="266" spans="1:13" s="116" customFormat="1" ht="33" customHeight="1" x14ac:dyDescent="0.2">
      <c r="A266" s="366" t="s">
        <v>228</v>
      </c>
      <c r="B266" s="367"/>
      <c r="C266" s="367"/>
      <c r="D266" s="367"/>
      <c r="E266" s="367"/>
    </row>
    <row r="267" spans="1:13" s="116" customFormat="1" x14ac:dyDescent="0.2">
      <c r="A267" s="242" t="s">
        <v>176</v>
      </c>
      <c r="B267" s="239" t="str">
        <f>B262</f>
        <v>Residential</v>
      </c>
      <c r="C267" s="239" t="str">
        <f t="shared" ref="C267:D267" si="73">C262</f>
        <v>GS&lt;50</v>
      </c>
      <c r="D267" s="239" t="str">
        <f t="shared" si="73"/>
        <v>GS&gt;50</v>
      </c>
      <c r="E267" s="239" t="s">
        <v>11</v>
      </c>
    </row>
    <row r="268" spans="1:13" s="116" customFormat="1" x14ac:dyDescent="0.2">
      <c r="A268" s="240" t="s">
        <v>229</v>
      </c>
      <c r="B268" s="213">
        <f>D240+D241</f>
        <v>1011083.7563255106</v>
      </c>
      <c r="C268" s="213">
        <f>D248+D249</f>
        <v>526946.22818988713</v>
      </c>
      <c r="D268" s="213">
        <f>D256+D257</f>
        <v>2102929.1511693122</v>
      </c>
      <c r="E268" s="213">
        <f>SUM(B268:D268)</f>
        <v>3640959.13568471</v>
      </c>
    </row>
    <row r="269" spans="1:13" s="116" customFormat="1" x14ac:dyDescent="0.2">
      <c r="A269" s="240" t="s">
        <v>230</v>
      </c>
      <c r="B269" s="213"/>
      <c r="C269" s="213"/>
      <c r="D269" s="213">
        <f>D268*B316</f>
        <v>6527.4150976442697</v>
      </c>
      <c r="E269" s="213">
        <f>SUM(B269:D269)</f>
        <v>6527.4150976442697</v>
      </c>
    </row>
    <row r="270" spans="1:13" x14ac:dyDescent="0.2">
      <c r="A270" s="240" t="s">
        <v>231</v>
      </c>
      <c r="B270" s="213"/>
      <c r="C270" s="213"/>
      <c r="D270" s="213">
        <f>D269/12</f>
        <v>543.95125813702248</v>
      </c>
      <c r="E270" s="213">
        <f>SUM(B270:D270)</f>
        <v>543.95125813702248</v>
      </c>
    </row>
    <row r="271" spans="1:13" x14ac:dyDescent="0.2">
      <c r="B271" s="238"/>
      <c r="C271" s="238"/>
      <c r="D271" s="238"/>
      <c r="E271" s="238"/>
    </row>
    <row r="273" spans="1:13" x14ac:dyDescent="0.2">
      <c r="A273" s="364" t="s">
        <v>232</v>
      </c>
      <c r="B273" s="364"/>
      <c r="C273" s="364"/>
      <c r="D273" s="364"/>
      <c r="E273" s="364"/>
      <c r="F273" s="364"/>
      <c r="G273" s="227"/>
      <c r="H273" s="227"/>
      <c r="I273" s="227"/>
      <c r="M273" s="215"/>
    </row>
    <row r="274" spans="1:13" ht="38.25" x14ac:dyDescent="0.2">
      <c r="A274" s="187" t="s">
        <v>176</v>
      </c>
      <c r="B274" s="188" t="str">
        <f>B225</f>
        <v>Residential</v>
      </c>
      <c r="C274" s="188" t="str">
        <f t="shared" ref="C274:H274" si="74">C225</f>
        <v>GS&lt;50</v>
      </c>
      <c r="D274" s="188" t="str">
        <f t="shared" si="74"/>
        <v>GS&gt;50</v>
      </c>
      <c r="E274" s="188" t="str">
        <f t="shared" si="74"/>
        <v>Street 
Lights</v>
      </c>
      <c r="F274" s="188" t="str">
        <f t="shared" si="74"/>
        <v>Unmetered Scattered Load</v>
      </c>
      <c r="G274" s="188" t="str">
        <f t="shared" si="74"/>
        <v>Sentinel Lights</v>
      </c>
      <c r="H274" s="188" t="str">
        <f t="shared" si="74"/>
        <v>Embedded Distributor</v>
      </c>
      <c r="I274" s="188" t="s">
        <v>11</v>
      </c>
    </row>
    <row r="275" spans="1:13" x14ac:dyDescent="0.2">
      <c r="A275" s="363" t="s">
        <v>233</v>
      </c>
      <c r="B275" s="363"/>
      <c r="C275" s="363"/>
      <c r="D275" s="363"/>
      <c r="E275" s="363"/>
      <c r="F275" s="363"/>
      <c r="G275" s="363"/>
      <c r="H275" s="363"/>
      <c r="I275" s="363"/>
    </row>
    <row r="276" spans="1:13" x14ac:dyDescent="0.2">
      <c r="A276" s="192" t="str">
        <f>A263</f>
        <v>2016 Bridge</v>
      </c>
      <c r="B276" s="304">
        <f t="shared" ref="B276:H277" si="75">B221</f>
        <v>91.495998383197957</v>
      </c>
      <c r="C276" s="304">
        <f t="shared" si="75"/>
        <v>28.998485744644999</v>
      </c>
      <c r="D276" s="304">
        <f t="shared" si="75"/>
        <v>62.304426670519007</v>
      </c>
      <c r="E276" s="304">
        <f t="shared" si="75"/>
        <v>2.3741639315875083</v>
      </c>
      <c r="F276" s="304">
        <f t="shared" si="75"/>
        <v>0.26220668799682556</v>
      </c>
      <c r="G276" s="304">
        <f t="shared" si="75"/>
        <v>5.9620000000000003E-3</v>
      </c>
      <c r="H276" s="304">
        <f t="shared" si="75"/>
        <v>46.643291462049106</v>
      </c>
      <c r="I276" s="304">
        <f>SUM(B276:H276)</f>
        <v>232.08453487999543</v>
      </c>
    </row>
    <row r="277" spans="1:13" x14ac:dyDescent="0.2">
      <c r="A277" s="192" t="str">
        <f>A264</f>
        <v>2017 Test</v>
      </c>
      <c r="B277" s="304">
        <f t="shared" si="75"/>
        <v>92.249127369490267</v>
      </c>
      <c r="C277" s="304">
        <f t="shared" si="75"/>
        <v>29.379920597533971</v>
      </c>
      <c r="D277" s="304">
        <f t="shared" si="75"/>
        <v>62.304426670519007</v>
      </c>
      <c r="E277" s="304">
        <f t="shared" si="75"/>
        <v>2.3800538474859283</v>
      </c>
      <c r="F277" s="304">
        <f t="shared" si="75"/>
        <v>0.26483240910400957</v>
      </c>
      <c r="G277" s="304">
        <f t="shared" si="75"/>
        <v>5.9620000000000003E-3</v>
      </c>
      <c r="H277" s="304">
        <f t="shared" si="75"/>
        <v>45.143217175586258</v>
      </c>
      <c r="I277" s="304">
        <f>SUM(B277:H277)</f>
        <v>231.72754006971945</v>
      </c>
    </row>
    <row r="278" spans="1:13" x14ac:dyDescent="0.2">
      <c r="A278" s="363" t="s">
        <v>234</v>
      </c>
      <c r="B278" s="363"/>
      <c r="C278" s="363"/>
      <c r="D278" s="363"/>
      <c r="E278" s="363"/>
      <c r="F278" s="363"/>
      <c r="G278" s="363"/>
      <c r="H278" s="363"/>
      <c r="I278" s="363"/>
    </row>
    <row r="279" spans="1:13" x14ac:dyDescent="0.2">
      <c r="A279" s="181" t="str">
        <f>A215</f>
        <v>2016 Bridge</v>
      </c>
      <c r="B279" s="305">
        <f>'Rate Class Energy Model'!H66/1000000</f>
        <v>1.4093814617242264</v>
      </c>
      <c r="C279" s="305">
        <f>'Rate Class Energy Model'!I66/1000000</f>
        <v>0.44668541738194895</v>
      </c>
      <c r="D279" s="305">
        <f>'Rate Class Energy Model'!J66/1000000</f>
        <v>0.69738135498668608</v>
      </c>
      <c r="E279" s="305">
        <f>'Rate Class Energy Model'!K66/1000000</f>
        <v>0</v>
      </c>
      <c r="F279" s="305">
        <f>'Rate Class Energy Model'!L66/1000000</f>
        <v>0</v>
      </c>
      <c r="G279" s="305">
        <f>'Rate Class Energy Model'!M66/1000000</f>
        <v>0</v>
      </c>
      <c r="H279" s="305">
        <f>'Rate Class Energy Model'!N66/1000000</f>
        <v>0</v>
      </c>
      <c r="I279" s="304">
        <f>SUM(B279:H279)</f>
        <v>2.5534482340928615</v>
      </c>
    </row>
    <row r="280" spans="1:13" x14ac:dyDescent="0.2">
      <c r="A280" s="181" t="str">
        <f>A216</f>
        <v>2017 Test</v>
      </c>
      <c r="B280" s="305">
        <f>'Rate Class Energy Model'!H67/1000000</f>
        <v>0.76168174797911503</v>
      </c>
      <c r="C280" s="305">
        <f>'Rate Class Energy Model'!I67/1000000</f>
        <v>0.24258385866984847</v>
      </c>
      <c r="D280" s="305">
        <f>'Rate Class Energy Model'!J67/1000000</f>
        <v>0.37381365349914447</v>
      </c>
      <c r="E280" s="305">
        <f>'Rate Class Energy Model'!K67/1000000</f>
        <v>0</v>
      </c>
      <c r="F280" s="305">
        <f>'Rate Class Energy Model'!L67/1000000</f>
        <v>0</v>
      </c>
      <c r="G280" s="305">
        <f>'Rate Class Energy Model'!M67/1000000</f>
        <v>0</v>
      </c>
      <c r="H280" s="305">
        <f>'Rate Class Energy Model'!N67/1000000</f>
        <v>0</v>
      </c>
      <c r="I280" s="304">
        <f>SUM(B280:H280)</f>
        <v>1.378079260148108</v>
      </c>
    </row>
    <row r="281" spans="1:13" x14ac:dyDescent="0.2">
      <c r="A281" s="363" t="s">
        <v>235</v>
      </c>
      <c r="B281" s="363"/>
      <c r="C281" s="363"/>
      <c r="D281" s="363"/>
      <c r="E281" s="363"/>
      <c r="F281" s="363"/>
      <c r="G281" s="363"/>
      <c r="H281" s="363"/>
      <c r="I281" s="363"/>
    </row>
    <row r="282" spans="1:13" ht="15" customHeight="1" x14ac:dyDescent="0.2">
      <c r="A282" s="181" t="str">
        <f>A279</f>
        <v>2016 Bridge</v>
      </c>
      <c r="B282" s="305">
        <f>-B263/1000000</f>
        <v>-0.42550022408000848</v>
      </c>
      <c r="C282" s="305">
        <f t="shared" ref="C282:D282" si="76">-C263/1000000</f>
        <v>-0.22175782843921751</v>
      </c>
      <c r="D282" s="305">
        <f t="shared" si="76"/>
        <v>-0.88498783552690319</v>
      </c>
      <c r="E282" s="305"/>
      <c r="F282" s="305"/>
      <c r="G282" s="305"/>
      <c r="H282" s="305"/>
      <c r="I282" s="305">
        <f>SUM(B282:H282)</f>
        <v>-1.5322458880461292</v>
      </c>
    </row>
    <row r="283" spans="1:13" x14ac:dyDescent="0.2">
      <c r="A283" s="181" t="str">
        <f>A280</f>
        <v>2017 Test</v>
      </c>
      <c r="B283" s="305">
        <f>-B264/1000000</f>
        <v>-0.93104210224276374</v>
      </c>
      <c r="C283" s="305">
        <f t="shared" ref="C283:D283" si="77">-C264/1000000</f>
        <v>-0.4852309425341611</v>
      </c>
      <c r="D283" s="305">
        <f t="shared" si="77"/>
        <v>-1.9364524111115593</v>
      </c>
      <c r="E283" s="305"/>
      <c r="F283" s="305"/>
      <c r="G283" s="305"/>
      <c r="H283" s="305"/>
      <c r="I283" s="305">
        <f>SUM(B283:H283)</f>
        <v>-3.3527254558884838</v>
      </c>
    </row>
    <row r="284" spans="1:13" x14ac:dyDescent="0.2">
      <c r="A284" s="363" t="s">
        <v>236</v>
      </c>
      <c r="B284" s="363"/>
      <c r="C284" s="363"/>
      <c r="D284" s="363"/>
      <c r="E284" s="363"/>
      <c r="F284" s="363"/>
      <c r="G284" s="363"/>
      <c r="H284" s="363"/>
      <c r="I284" s="363"/>
    </row>
    <row r="285" spans="1:13" x14ac:dyDescent="0.2">
      <c r="A285" s="192" t="str">
        <f>A282</f>
        <v>2016 Bridge</v>
      </c>
      <c r="B285" s="306">
        <f>B276+B279+B282</f>
        <v>92.479879620842169</v>
      </c>
      <c r="C285" s="306">
        <f t="shared" ref="C285:H285" si="78">C276+C279+C282</f>
        <v>29.223413333587732</v>
      </c>
      <c r="D285" s="306">
        <f t="shared" si="78"/>
        <v>62.116820189978796</v>
      </c>
      <c r="E285" s="306">
        <f t="shared" si="78"/>
        <v>2.3741639315875083</v>
      </c>
      <c r="F285" s="306">
        <f t="shared" si="78"/>
        <v>0.26220668799682556</v>
      </c>
      <c r="G285" s="306">
        <f t="shared" si="78"/>
        <v>5.9620000000000003E-3</v>
      </c>
      <c r="H285" s="306">
        <f t="shared" si="78"/>
        <v>46.643291462049106</v>
      </c>
      <c r="I285" s="305">
        <f>SUM(B285:H285)</f>
        <v>233.10573722604215</v>
      </c>
    </row>
    <row r="286" spans="1:13" x14ac:dyDescent="0.2">
      <c r="A286" s="192" t="str">
        <f>A283</f>
        <v>2017 Test</v>
      </c>
      <c r="B286" s="306">
        <f>B277+B280+B283</f>
        <v>92.079767015226608</v>
      </c>
      <c r="C286" s="306">
        <f t="shared" ref="C286:H286" si="79">C277+C280+C283</f>
        <v>29.137273513669658</v>
      </c>
      <c r="D286" s="306">
        <f t="shared" si="79"/>
        <v>60.741787912906588</v>
      </c>
      <c r="E286" s="306">
        <f t="shared" si="79"/>
        <v>2.3800538474859283</v>
      </c>
      <c r="F286" s="306">
        <f t="shared" si="79"/>
        <v>0.26483240910400957</v>
      </c>
      <c r="G286" s="306">
        <f t="shared" si="79"/>
        <v>5.9620000000000003E-3</v>
      </c>
      <c r="H286" s="306">
        <f t="shared" si="79"/>
        <v>45.143217175586258</v>
      </c>
      <c r="I286" s="305">
        <f>SUM(B286:H286)</f>
        <v>229.75289387397902</v>
      </c>
    </row>
    <row r="288" spans="1:13" x14ac:dyDescent="0.2">
      <c r="A288" s="364" t="s">
        <v>237</v>
      </c>
      <c r="B288" s="364"/>
      <c r="C288" s="364"/>
      <c r="D288" s="364"/>
      <c r="E288" s="364"/>
      <c r="F288" s="364"/>
      <c r="G288" s="364"/>
      <c r="H288" s="364"/>
      <c r="I288" s="364"/>
    </row>
    <row r="289" spans="1:11" ht="25.5" x14ac:dyDescent="0.2">
      <c r="A289" s="187" t="s">
        <v>176</v>
      </c>
      <c r="B289" s="188" t="str">
        <f>D274</f>
        <v>GS&gt;50</v>
      </c>
      <c r="C289" s="188" t="str">
        <f t="shared" ref="C289" si="80">E274</f>
        <v>Street 
Lights</v>
      </c>
      <c r="D289" s="188" t="str">
        <f>G274</f>
        <v>Sentinel Lights</v>
      </c>
      <c r="E289" s="188" t="str">
        <f>H274</f>
        <v>Embedded Distributor</v>
      </c>
      <c r="F289" s="188" t="s">
        <v>11</v>
      </c>
      <c r="G289" s="188" t="str">
        <f>B289</f>
        <v>GS&gt;50</v>
      </c>
      <c r="H289" s="188" t="str">
        <f t="shared" ref="H289:J289" si="81">C289</f>
        <v>Street 
Lights</v>
      </c>
      <c r="I289" s="188" t="str">
        <f t="shared" si="81"/>
        <v>Sentinel Lights</v>
      </c>
      <c r="J289" s="188" t="str">
        <f t="shared" si="81"/>
        <v>Embedded Distributor</v>
      </c>
      <c r="K289" s="188" t="str">
        <f>F289</f>
        <v>Total</v>
      </c>
    </row>
    <row r="290" spans="1:11" x14ac:dyDescent="0.2">
      <c r="A290" s="363" t="s">
        <v>238</v>
      </c>
      <c r="B290" s="363"/>
      <c r="C290" s="363"/>
      <c r="D290" s="363"/>
      <c r="E290" s="363"/>
      <c r="F290" s="363"/>
      <c r="G290" s="363"/>
      <c r="H290" s="363"/>
      <c r="I290" s="363"/>
      <c r="J290" s="363"/>
      <c r="K290" s="363"/>
    </row>
    <row r="291" spans="1:11" x14ac:dyDescent="0.2">
      <c r="A291" s="190"/>
      <c r="B291" s="355" t="s">
        <v>239</v>
      </c>
      <c r="C291" s="355"/>
      <c r="D291" s="355"/>
      <c r="E291" s="355"/>
      <c r="F291" s="355"/>
      <c r="G291" s="355" t="s">
        <v>240</v>
      </c>
      <c r="H291" s="355"/>
      <c r="I291" s="355"/>
      <c r="J291" s="355"/>
      <c r="K291" s="355"/>
    </row>
    <row r="292" spans="1:11" x14ac:dyDescent="0.2">
      <c r="A292" s="192">
        <f t="shared" ref="A292:A301" si="82">A200</f>
        <v>2006</v>
      </c>
      <c r="B292" s="229">
        <f>'Rate Class Load Model'!B2</f>
        <v>241320.97999999998</v>
      </c>
      <c r="C292" s="229">
        <f>'Rate Class Load Model'!C2</f>
        <v>5909.57</v>
      </c>
      <c r="D292" s="229">
        <f>'Rate Class Load Model'!D2</f>
        <v>496</v>
      </c>
      <c r="E292" s="229"/>
      <c r="F292" s="229">
        <f>SUM(B292:E292)</f>
        <v>247726.55</v>
      </c>
      <c r="G292" s="229">
        <f>B292*F132</f>
        <v>245085.16553046397</v>
      </c>
      <c r="H292" s="229">
        <f>C292*F132</f>
        <v>6001.7489638234683</v>
      </c>
      <c r="I292" s="229">
        <f>D292*F132</f>
        <v>503.7367331390339</v>
      </c>
      <c r="J292" s="229"/>
      <c r="K292" s="229">
        <f>SUM(G292:J292)</f>
        <v>251590.65122742645</v>
      </c>
    </row>
    <row r="293" spans="1:11" x14ac:dyDescent="0.2">
      <c r="A293" s="192">
        <f t="shared" si="82"/>
        <v>2007</v>
      </c>
      <c r="B293" s="229">
        <f>'Rate Class Load Model'!B3</f>
        <v>218224.88999999998</v>
      </c>
      <c r="C293" s="229">
        <f>'Rate Class Load Model'!C3</f>
        <v>6520.95</v>
      </c>
      <c r="D293" s="229">
        <f>'Rate Class Load Model'!D3</f>
        <v>498</v>
      </c>
      <c r="E293" s="229">
        <f>'Rate Class Load Model'!E3</f>
        <v>115967.3</v>
      </c>
      <c r="F293" s="229">
        <f t="shared" ref="F293:F301" si="83">SUM(B293:E293)</f>
        <v>341211.14</v>
      </c>
      <c r="G293" s="229">
        <f t="shared" ref="G293:G301" si="84">B293*F133</f>
        <v>214713.77757241737</v>
      </c>
      <c r="H293" s="229">
        <f t="shared" ref="H293:H301" si="85">C293*F133</f>
        <v>6416.0316811746598</v>
      </c>
      <c r="I293" s="229">
        <f t="shared" ref="I293:I301" si="86">D293*F133</f>
        <v>489.98746765808363</v>
      </c>
      <c r="J293" s="229">
        <f t="shared" ref="J293:J301" si="87">E293*F133</f>
        <v>114101.45312880579</v>
      </c>
      <c r="K293" s="229">
        <f t="shared" ref="K293:K301" si="88">SUM(G293:J293)</f>
        <v>335721.2498500559</v>
      </c>
    </row>
    <row r="294" spans="1:11" x14ac:dyDescent="0.2">
      <c r="A294" s="192">
        <f t="shared" si="82"/>
        <v>2008</v>
      </c>
      <c r="B294" s="229">
        <f>'Rate Class Load Model'!B4</f>
        <v>209582.87</v>
      </c>
      <c r="C294" s="229">
        <f>'Rate Class Load Model'!C4</f>
        <v>6487.4</v>
      </c>
      <c r="D294" s="229">
        <f>'Rate Class Load Model'!D4</f>
        <v>265</v>
      </c>
      <c r="E294" s="229">
        <f>'Rate Class Load Model'!E4</f>
        <v>112770.77999999998</v>
      </c>
      <c r="F294" s="229">
        <f t="shared" si="83"/>
        <v>329106.05</v>
      </c>
      <c r="G294" s="229">
        <f t="shared" si="84"/>
        <v>207697.85902492265</v>
      </c>
      <c r="H294" s="229">
        <f t="shared" si="85"/>
        <v>6429.0516235333698</v>
      </c>
      <c r="I294" s="229">
        <f t="shared" si="86"/>
        <v>262.61656137070986</v>
      </c>
      <c r="J294" s="229">
        <f t="shared" si="87"/>
        <v>111756.50742148233</v>
      </c>
      <c r="K294" s="229">
        <f t="shared" si="88"/>
        <v>326146.03463130904</v>
      </c>
    </row>
    <row r="295" spans="1:11" x14ac:dyDescent="0.2">
      <c r="A295" s="192">
        <f t="shared" si="82"/>
        <v>2009</v>
      </c>
      <c r="B295" s="229">
        <f>'Rate Class Load Model'!B5</f>
        <v>207445.1</v>
      </c>
      <c r="C295" s="229">
        <f>'Rate Class Load Model'!C5</f>
        <v>5753.6</v>
      </c>
      <c r="D295" s="229">
        <f>'Rate Class Load Model'!D5</f>
        <v>143</v>
      </c>
      <c r="E295" s="229">
        <f>'Rate Class Load Model'!E5</f>
        <v>109952.4</v>
      </c>
      <c r="F295" s="229">
        <f t="shared" si="83"/>
        <v>323294.09999999998</v>
      </c>
      <c r="G295" s="229">
        <f t="shared" si="84"/>
        <v>212608.26232264098</v>
      </c>
      <c r="H295" s="229">
        <f t="shared" si="85"/>
        <v>5896.8030486116431</v>
      </c>
      <c r="I295" s="229">
        <f t="shared" si="86"/>
        <v>146.55916920735973</v>
      </c>
      <c r="J295" s="229">
        <f t="shared" si="87"/>
        <v>112689.03773675034</v>
      </c>
      <c r="K295" s="229">
        <f t="shared" si="88"/>
        <v>331340.66227721033</v>
      </c>
    </row>
    <row r="296" spans="1:11" x14ac:dyDescent="0.2">
      <c r="A296" s="192">
        <f t="shared" si="82"/>
        <v>2010</v>
      </c>
      <c r="B296" s="229">
        <f>'Rate Class Load Model'!B6</f>
        <v>200282.5</v>
      </c>
      <c r="C296" s="229">
        <f>'Rate Class Load Model'!C6</f>
        <v>6759.3</v>
      </c>
      <c r="D296" s="229">
        <f>'Rate Class Load Model'!D6</f>
        <v>52</v>
      </c>
      <c r="E296" s="229">
        <f>'Rate Class Load Model'!E6</f>
        <v>107516.56</v>
      </c>
      <c r="F296" s="229">
        <f t="shared" si="83"/>
        <v>314610.36</v>
      </c>
      <c r="G296" s="229">
        <f t="shared" si="84"/>
        <v>196768.80729475967</v>
      </c>
      <c r="H296" s="229">
        <f t="shared" si="85"/>
        <v>6640.7169829988597</v>
      </c>
      <c r="I296" s="229">
        <f t="shared" si="86"/>
        <v>51.087728480159292</v>
      </c>
      <c r="J296" s="229">
        <f t="shared" si="87"/>
        <v>105630.32354616837</v>
      </c>
      <c r="K296" s="229">
        <f t="shared" si="88"/>
        <v>309090.93555240706</v>
      </c>
    </row>
    <row r="297" spans="1:11" x14ac:dyDescent="0.2">
      <c r="A297" s="192">
        <f t="shared" si="82"/>
        <v>2011</v>
      </c>
      <c r="B297" s="229">
        <f>'Rate Class Load Model'!B7</f>
        <v>195460.9</v>
      </c>
      <c r="C297" s="229">
        <f>'Rate Class Load Model'!C7</f>
        <v>5760</v>
      </c>
      <c r="D297" s="229">
        <f>'Rate Class Load Model'!D7</f>
        <v>14</v>
      </c>
      <c r="E297" s="229">
        <f>'Rate Class Load Model'!E7</f>
        <v>113910.59999999999</v>
      </c>
      <c r="F297" s="229">
        <f t="shared" si="83"/>
        <v>315145.5</v>
      </c>
      <c r="G297" s="229">
        <f t="shared" si="84"/>
        <v>192937.92172244444</v>
      </c>
      <c r="H297" s="229">
        <f t="shared" si="85"/>
        <v>5685.6508341119888</v>
      </c>
      <c r="I297" s="229">
        <f t="shared" si="86"/>
        <v>13.819290221799974</v>
      </c>
      <c r="J297" s="229">
        <f t="shared" si="87"/>
        <v>112440.26005281199</v>
      </c>
      <c r="K297" s="229">
        <f t="shared" si="88"/>
        <v>311077.65189959027</v>
      </c>
    </row>
    <row r="298" spans="1:11" x14ac:dyDescent="0.2">
      <c r="A298" s="192">
        <f t="shared" si="82"/>
        <v>2012</v>
      </c>
      <c r="B298" s="229">
        <f>'Rate Class Load Model'!B8</f>
        <v>186873.8</v>
      </c>
      <c r="C298" s="229">
        <f>'Rate Class Load Model'!C8</f>
        <v>6353.7</v>
      </c>
      <c r="D298" s="229">
        <f>'Rate Class Load Model'!D8</f>
        <v>14</v>
      </c>
      <c r="E298" s="229">
        <f>'Rate Class Load Model'!E8</f>
        <v>111193.80000000002</v>
      </c>
      <c r="F298" s="229">
        <f t="shared" si="83"/>
        <v>304435.30000000005</v>
      </c>
      <c r="G298" s="229">
        <f t="shared" si="84"/>
        <v>186625.09158846966</v>
      </c>
      <c r="H298" s="229">
        <f t="shared" si="85"/>
        <v>6345.2439262521539</v>
      </c>
      <c r="I298" s="229">
        <f t="shared" si="86"/>
        <v>13.981367544506375</v>
      </c>
      <c r="J298" s="229">
        <f t="shared" si="87"/>
        <v>111045.81331930951</v>
      </c>
      <c r="K298" s="229">
        <f t="shared" si="88"/>
        <v>304030.13020157581</v>
      </c>
    </row>
    <row r="299" spans="1:11" x14ac:dyDescent="0.2">
      <c r="A299" s="192">
        <f t="shared" si="82"/>
        <v>2013</v>
      </c>
      <c r="B299" s="229">
        <f>'Rate Class Load Model'!B9</f>
        <v>181892.6</v>
      </c>
      <c r="C299" s="229">
        <f>'Rate Class Load Model'!C9</f>
        <v>6799.3</v>
      </c>
      <c r="D299" s="229">
        <f>'Rate Class Load Model'!D9</f>
        <v>14</v>
      </c>
      <c r="E299" s="229">
        <f>'Rate Class Load Model'!E9</f>
        <v>110634.70000000001</v>
      </c>
      <c r="F299" s="229">
        <f t="shared" si="83"/>
        <v>299340.59999999998</v>
      </c>
      <c r="G299" s="229">
        <f t="shared" si="84"/>
        <v>182501.8766476968</v>
      </c>
      <c r="H299" s="229">
        <f t="shared" si="85"/>
        <v>6822.0752789870767</v>
      </c>
      <c r="I299" s="229">
        <f t="shared" si="86"/>
        <v>14.046895107705069</v>
      </c>
      <c r="J299" s="229">
        <f t="shared" si="87"/>
        <v>111005.28758374415</v>
      </c>
      <c r="K299" s="229">
        <f t="shared" si="88"/>
        <v>300343.28640553576</v>
      </c>
    </row>
    <row r="300" spans="1:11" x14ac:dyDescent="0.2">
      <c r="A300" s="192">
        <f t="shared" si="82"/>
        <v>2014</v>
      </c>
      <c r="B300" s="229">
        <f>'Rate Class Load Model'!B10</f>
        <v>186325.9</v>
      </c>
      <c r="C300" s="229">
        <f>'Rate Class Load Model'!C10</f>
        <v>6450</v>
      </c>
      <c r="D300" s="229">
        <f>'Rate Class Load Model'!D10</f>
        <v>14</v>
      </c>
      <c r="E300" s="229">
        <f>'Rate Class Load Model'!E10</f>
        <v>115370.49999999999</v>
      </c>
      <c r="F300" s="229">
        <f t="shared" si="83"/>
        <v>308160.39999999997</v>
      </c>
      <c r="G300" s="229">
        <f t="shared" si="84"/>
        <v>187006.45089040539</v>
      </c>
      <c r="H300" s="229">
        <f t="shared" si="85"/>
        <v>6473.5584706319141</v>
      </c>
      <c r="I300" s="229">
        <f t="shared" si="86"/>
        <v>14.051134664937488</v>
      </c>
      <c r="J300" s="229">
        <f t="shared" si="87"/>
        <v>115791.88799008359</v>
      </c>
      <c r="K300" s="229">
        <f t="shared" si="88"/>
        <v>309285.94848578586</v>
      </c>
    </row>
    <row r="301" spans="1:11" x14ac:dyDescent="0.2">
      <c r="A301" s="192">
        <f t="shared" si="82"/>
        <v>2015</v>
      </c>
      <c r="B301" s="229">
        <f>'Rate Class Load Model'!B11</f>
        <v>195328</v>
      </c>
      <c r="C301" s="229">
        <f>'Rate Class Load Model'!C11</f>
        <v>6398</v>
      </c>
      <c r="D301" s="229">
        <f>'Rate Class Load Model'!D11</f>
        <v>14</v>
      </c>
      <c r="E301" s="229">
        <f>'Rate Class Load Model'!E11</f>
        <v>105467.49</v>
      </c>
      <c r="F301" s="229">
        <f t="shared" si="83"/>
        <v>307207.49</v>
      </c>
      <c r="G301" s="229">
        <f t="shared" si="84"/>
        <v>198046.32476048241</v>
      </c>
      <c r="H301" s="229">
        <f t="shared" si="85"/>
        <v>6487.0391639578893</v>
      </c>
      <c r="I301" s="229">
        <f t="shared" si="86"/>
        <v>14.194834056800632</v>
      </c>
      <c r="J301" s="229">
        <f t="shared" si="87"/>
        <v>106935.25135266288</v>
      </c>
      <c r="K301" s="229">
        <f t="shared" si="88"/>
        <v>311482.81011115998</v>
      </c>
    </row>
    <row r="302" spans="1:11" x14ac:dyDescent="0.2">
      <c r="A302" s="223"/>
      <c r="B302" s="224"/>
      <c r="C302" s="224"/>
      <c r="D302" s="224"/>
    </row>
    <row r="303" spans="1:11" ht="27.75" customHeight="1" x14ac:dyDescent="0.2">
      <c r="A303" s="365" t="s">
        <v>241</v>
      </c>
      <c r="B303" s="365"/>
      <c r="C303" s="365"/>
      <c r="D303" s="365"/>
      <c r="E303" s="365"/>
    </row>
    <row r="304" spans="1:11" ht="25.5" x14ac:dyDescent="0.2">
      <c r="A304" s="187" t="s">
        <v>176</v>
      </c>
      <c r="B304" s="188" t="str">
        <f>B289</f>
        <v>GS&gt;50</v>
      </c>
      <c r="C304" s="188" t="str">
        <f t="shared" ref="C304:E304" si="89">C289</f>
        <v>Street 
Lights</v>
      </c>
      <c r="D304" s="188" t="str">
        <f t="shared" si="89"/>
        <v>Sentinel Lights</v>
      </c>
      <c r="E304" s="188" t="str">
        <f t="shared" si="89"/>
        <v>Embedded Distributor</v>
      </c>
    </row>
    <row r="305" spans="1:6" x14ac:dyDescent="0.2">
      <c r="A305" s="363" t="s">
        <v>242</v>
      </c>
      <c r="B305" s="363"/>
      <c r="C305" s="363"/>
      <c r="D305" s="363"/>
      <c r="E305" s="363"/>
    </row>
    <row r="306" spans="1:6" x14ac:dyDescent="0.2">
      <c r="A306" s="192">
        <f t="shared" ref="A306:A315" si="90">A292</f>
        <v>2006</v>
      </c>
      <c r="B306" s="244">
        <f>'Rate Class Load Model'!B17</f>
        <v>3.1308346376586731E-3</v>
      </c>
      <c r="C306" s="244">
        <f>'Rate Class Load Model'!C17</f>
        <v>2.6268668186119649E-3</v>
      </c>
      <c r="D306" s="244">
        <f>'Rate Class Load Model'!D17</f>
        <v>2.6444447998805734E-3</v>
      </c>
      <c r="E306" s="244"/>
    </row>
    <row r="307" spans="1:6" x14ac:dyDescent="0.2">
      <c r="A307" s="192">
        <f t="shared" si="90"/>
        <v>2007</v>
      </c>
      <c r="B307" s="244">
        <f>'Rate Class Load Model'!B18</f>
        <v>3.0936958421316518E-3</v>
      </c>
      <c r="C307" s="244">
        <f>'Rate Class Load Model'!C18</f>
        <v>2.706217356495655E-3</v>
      </c>
      <c r="D307" s="244">
        <f>'Rate Class Load Model'!D18</f>
        <v>2.7242590343650509E-3</v>
      </c>
      <c r="E307" s="244">
        <f>'Rate Class Load Model'!E18</f>
        <v>1.852576739024784E-3</v>
      </c>
    </row>
    <row r="308" spans="1:6" x14ac:dyDescent="0.2">
      <c r="A308" s="192">
        <f t="shared" si="90"/>
        <v>2008</v>
      </c>
      <c r="B308" s="244">
        <f>'Rate Class Load Model'!B19</f>
        <v>2.9204624924765118E-3</v>
      </c>
      <c r="C308" s="244">
        <f>'Rate Class Load Model'!C19</f>
        <v>2.825450547409594E-3</v>
      </c>
      <c r="D308" s="244">
        <f>'Rate Class Load Model'!D19</f>
        <v>2.8391133395472418E-3</v>
      </c>
      <c r="E308" s="244">
        <f>'Rate Class Load Model'!E19</f>
        <v>2.055431312069686E-3</v>
      </c>
    </row>
    <row r="309" spans="1:6" x14ac:dyDescent="0.2">
      <c r="A309" s="192">
        <f t="shared" si="90"/>
        <v>2009</v>
      </c>
      <c r="B309" s="244">
        <f>'Rate Class Load Model'!B20</f>
        <v>3.2910980841152513E-3</v>
      </c>
      <c r="C309" s="244">
        <f>'Rate Class Load Model'!C20</f>
        <v>2.7629750964395291E-3</v>
      </c>
      <c r="D309" s="244">
        <f>'Rate Class Load Model'!D20</f>
        <v>2.8118542074246841E-3</v>
      </c>
      <c r="E309" s="244">
        <f>'Rate Class Load Model'!E20</f>
        <v>2.1518040489880113E-3</v>
      </c>
    </row>
    <row r="310" spans="1:6" x14ac:dyDescent="0.2">
      <c r="A310" s="192">
        <f t="shared" si="90"/>
        <v>2010</v>
      </c>
      <c r="B310" s="244">
        <f>'Rate Class Load Model'!B21</f>
        <v>3.0531249146807209E-3</v>
      </c>
      <c r="C310" s="244">
        <f>'Rate Class Load Model'!C21</f>
        <v>2.8047458226329084E-3</v>
      </c>
      <c r="D310" s="244">
        <f>'Rate Class Load Model'!D21</f>
        <v>2.7567885846471849E-3</v>
      </c>
      <c r="E310" s="244">
        <f>'Rate Class Load Model'!E21</f>
        <v>2.2355328891124431E-3</v>
      </c>
    </row>
    <row r="311" spans="1:6" x14ac:dyDescent="0.2">
      <c r="A311" s="192">
        <f t="shared" si="90"/>
        <v>2011</v>
      </c>
      <c r="B311" s="244">
        <f>'Rate Class Load Model'!B22</f>
        <v>3.0386825964663017E-3</v>
      </c>
      <c r="C311" s="244">
        <f>'Rate Class Load Model'!C22</f>
        <v>2.5654341596466116E-3</v>
      </c>
      <c r="D311" s="244">
        <f>'Rate Class Load Model'!D22</f>
        <v>2.3482053002348204E-3</v>
      </c>
      <c r="E311" s="244">
        <f>'Rate Class Load Model'!E22</f>
        <v>2.1598350929939772E-3</v>
      </c>
    </row>
    <row r="312" spans="1:6" x14ac:dyDescent="0.2">
      <c r="A312" s="192">
        <f t="shared" si="90"/>
        <v>2012</v>
      </c>
      <c r="B312" s="244">
        <f>'Rate Class Load Model'!B23</f>
        <v>3.0667993549205901E-3</v>
      </c>
      <c r="C312" s="244">
        <f>'Rate Class Load Model'!C23</f>
        <v>2.7078762988008696E-3</v>
      </c>
      <c r="D312" s="244">
        <f>'Rate Class Load Model'!D23</f>
        <v>2.3482053002348204E-3</v>
      </c>
      <c r="E312" s="244">
        <f>'Rate Class Load Model'!E23</f>
        <v>2.2189193380421335E-3</v>
      </c>
    </row>
    <row r="313" spans="1:6" x14ac:dyDescent="0.2">
      <c r="A313" s="192">
        <f t="shared" si="90"/>
        <v>2013</v>
      </c>
      <c r="B313" s="244">
        <f>'Rate Class Load Model'!B24</f>
        <v>3.06074685787271E-3</v>
      </c>
      <c r="C313" s="244">
        <f>'Rate Class Load Model'!C24</f>
        <v>2.70576048887558E-3</v>
      </c>
      <c r="D313" s="244">
        <f>'Rate Class Load Model'!D24</f>
        <v>2.3482053002348204E-3</v>
      </c>
      <c r="E313" s="244">
        <f>'Rate Class Load Model'!E24</f>
        <v>2.2210789283270633E-3</v>
      </c>
    </row>
    <row r="314" spans="1:6" x14ac:dyDescent="0.2">
      <c r="A314" s="192">
        <f t="shared" si="90"/>
        <v>2014</v>
      </c>
      <c r="B314" s="244">
        <f>'Rate Class Load Model'!B25</f>
        <v>3.2491309826356953E-3</v>
      </c>
      <c r="C314" s="244">
        <f>'Rate Class Load Model'!C25</f>
        <v>2.8017981897342985E-3</v>
      </c>
      <c r="D314" s="244">
        <f>'Rate Class Load Model'!D25</f>
        <v>2.3482053002348204E-3</v>
      </c>
      <c r="E314" s="244">
        <f>'Rate Class Load Model'!E25</f>
        <v>2.2122295534965628E-3</v>
      </c>
    </row>
    <row r="315" spans="1:6" x14ac:dyDescent="0.2">
      <c r="A315" s="192">
        <f t="shared" si="90"/>
        <v>2015</v>
      </c>
      <c r="B315" s="244">
        <f>'Rate Class Load Model'!B26</f>
        <v>3.1350581401373302E-3</v>
      </c>
      <c r="C315" s="244">
        <f>'Rate Class Load Model'!C26</f>
        <v>2.7015288690249999E-3</v>
      </c>
      <c r="D315" s="244">
        <f>'Rate Class Load Model'!D26</f>
        <v>2.3482053002348204E-3</v>
      </c>
      <c r="E315" s="244">
        <f>'Rate Class Load Model'!E26</f>
        <v>2.1884303928257401E-3</v>
      </c>
    </row>
    <row r="316" spans="1:6" x14ac:dyDescent="0.2">
      <c r="A316" s="192" t="s">
        <v>291</v>
      </c>
      <c r="B316" s="244">
        <f>AVERAGE(B306:B315)</f>
        <v>3.1039633903095437E-3</v>
      </c>
      <c r="C316" s="244">
        <f t="shared" ref="C316:E316" si="91">AVERAGE(C306:C315)</f>
        <v>2.7208653647672011E-3</v>
      </c>
      <c r="D316" s="244">
        <f>D315</f>
        <v>2.3482053002348204E-3</v>
      </c>
      <c r="E316" s="244">
        <f t="shared" si="91"/>
        <v>2.1439820327644895E-3</v>
      </c>
    </row>
    <row r="318" spans="1:6" x14ac:dyDescent="0.2">
      <c r="A318" s="245" t="s">
        <v>243</v>
      </c>
      <c r="B318" s="246"/>
      <c r="C318" s="246"/>
      <c r="D318" s="247"/>
      <c r="E318" s="215"/>
    </row>
    <row r="319" spans="1:6" ht="25.5" x14ac:dyDescent="0.2">
      <c r="A319" s="225" t="s">
        <v>176</v>
      </c>
      <c r="B319" s="188" t="str">
        <f>B289</f>
        <v>GS&gt;50</v>
      </c>
      <c r="C319" s="188" t="str">
        <f t="shared" ref="C319:E319" si="92">C289</f>
        <v>Street 
Lights</v>
      </c>
      <c r="D319" s="188" t="str">
        <f t="shared" si="92"/>
        <v>Sentinel Lights</v>
      </c>
      <c r="E319" s="188" t="str">
        <f t="shared" si="92"/>
        <v>Embedded Distributor</v>
      </c>
      <c r="F319" s="188" t="s">
        <v>11</v>
      </c>
    </row>
    <row r="320" spans="1:6" x14ac:dyDescent="0.2">
      <c r="A320" s="248" t="s">
        <v>244</v>
      </c>
      <c r="B320" s="249"/>
      <c r="C320" s="249"/>
      <c r="F320" s="250"/>
    </row>
    <row r="321" spans="1:23" x14ac:dyDescent="0.2">
      <c r="A321" s="204" t="str">
        <f>A285</f>
        <v>2016 Bridge</v>
      </c>
      <c r="B321" s="229">
        <f>B316*D285*1000000</f>
        <v>192808.33579213492</v>
      </c>
      <c r="C321" s="229">
        <f t="shared" ref="C321" si="93">C316*E285*1000000</f>
        <v>6459.7804117359774</v>
      </c>
      <c r="D321" s="229">
        <f>D316*G285*1000000</f>
        <v>14</v>
      </c>
      <c r="E321" s="229">
        <f>E316*H285*1000000</f>
        <v>100002.37884363061</v>
      </c>
      <c r="F321" s="229">
        <f>SUM(B321:E321)</f>
        <v>299284.49504750152</v>
      </c>
    </row>
    <row r="322" spans="1:23" x14ac:dyDescent="0.2">
      <c r="A322" s="204" t="str">
        <f>A286</f>
        <v>2017 Test</v>
      </c>
      <c r="B322" s="229">
        <f>B316*D286*1000000</f>
        <v>188540.28594360882</v>
      </c>
      <c r="C322" s="229">
        <f t="shared" ref="C322" si="94">C316*E286*1000000</f>
        <v>6475.806079905381</v>
      </c>
      <c r="D322" s="229">
        <f>D316*G286*1000000</f>
        <v>14</v>
      </c>
      <c r="E322" s="229">
        <f>E316*H286*1000000</f>
        <v>96786.246525642244</v>
      </c>
      <c r="F322" s="229">
        <f>SUM(B322:E322)</f>
        <v>291816.33854915644</v>
      </c>
    </row>
    <row r="323" spans="1:23" x14ac:dyDescent="0.2">
      <c r="A323" s="251"/>
      <c r="B323" s="252"/>
      <c r="C323" s="252"/>
      <c r="D323" s="252"/>
      <c r="E323" s="252"/>
    </row>
    <row r="325" spans="1:23" x14ac:dyDescent="0.2">
      <c r="O325" s="231" t="s">
        <v>245</v>
      </c>
      <c r="P325" s="231"/>
      <c r="Q325" s="231"/>
      <c r="R325" s="231"/>
      <c r="S325" s="231"/>
      <c r="T325" s="231"/>
      <c r="U325" s="231"/>
      <c r="V325" s="231"/>
      <c r="W325" s="231"/>
    </row>
    <row r="326" spans="1:23" ht="25.5" x14ac:dyDescent="0.2">
      <c r="O326" s="308"/>
      <c r="P326" s="188" t="s">
        <v>157</v>
      </c>
      <c r="Q326" s="253" t="s">
        <v>158</v>
      </c>
      <c r="R326" s="188" t="s">
        <v>246</v>
      </c>
      <c r="S326" s="188" t="s">
        <v>247</v>
      </c>
      <c r="T326" s="188" t="s">
        <v>248</v>
      </c>
      <c r="U326" s="188" t="s">
        <v>249</v>
      </c>
      <c r="V326" s="200" t="s">
        <v>250</v>
      </c>
      <c r="W326" s="200" t="s">
        <v>251</v>
      </c>
    </row>
    <row r="327" spans="1:23" x14ac:dyDescent="0.2">
      <c r="O327" s="360" t="s">
        <v>8</v>
      </c>
      <c r="P327" s="361"/>
      <c r="Q327" s="361"/>
      <c r="R327" s="361"/>
      <c r="S327" s="361"/>
      <c r="T327" s="361"/>
      <c r="U327" s="361"/>
      <c r="V327" s="361"/>
      <c r="W327" s="362"/>
    </row>
    <row r="328" spans="1:23" x14ac:dyDescent="0.2">
      <c r="O328" s="204" t="s">
        <v>56</v>
      </c>
      <c r="P328" s="213">
        <f>Summary!H4</f>
        <v>255035715.38461539</v>
      </c>
      <c r="Q328" s="179"/>
      <c r="R328" s="213">
        <f>Summary!I4</f>
        <v>246901827.27272725</v>
      </c>
      <c r="S328" s="213">
        <f>Summary!J4</f>
        <v>247681431.06060606</v>
      </c>
      <c r="T328" s="213">
        <f>Summary!K4</f>
        <v>249772655.12820518</v>
      </c>
      <c r="U328" s="213">
        <f>Summary!L4</f>
        <v>247718853.84615383</v>
      </c>
      <c r="V328" s="254"/>
      <c r="W328" s="254"/>
    </row>
    <row r="329" spans="1:23" ht="25.5" x14ac:dyDescent="0.2">
      <c r="O329" s="181" t="s">
        <v>252</v>
      </c>
      <c r="P329" s="213">
        <f>Summary!H5</f>
        <v>257456890.58217561</v>
      </c>
      <c r="Q329" s="179"/>
      <c r="R329" s="213">
        <f>Summary!I5</f>
        <v>253403283.71799523</v>
      </c>
      <c r="S329" s="213">
        <f>Summary!J5</f>
        <v>251372242.30991054</v>
      </c>
      <c r="T329" s="213">
        <f>Summary!K5</f>
        <v>252824165.03788921</v>
      </c>
      <c r="U329" s="213">
        <f>Summary!L5</f>
        <v>247706725.37802175</v>
      </c>
      <c r="V329" s="213">
        <f>Summary!M5</f>
        <v>250793261.8765212</v>
      </c>
      <c r="W329" s="213">
        <f>Summary!N5</f>
        <v>249155391.88324183</v>
      </c>
    </row>
    <row r="330" spans="1:23" ht="25.5" x14ac:dyDescent="0.2">
      <c r="O330" s="181" t="s">
        <v>253</v>
      </c>
      <c r="P330" s="255">
        <f>Summary!H6</f>
        <v>9.49347503705073E-3</v>
      </c>
      <c r="Q330" s="179"/>
      <c r="R330" s="255">
        <f>Summary!I6</f>
        <v>2.6332152001801428E-2</v>
      </c>
      <c r="S330" s="255">
        <f>Summary!J6</f>
        <v>1.4901445108339007E-2</v>
      </c>
      <c r="T330" s="255">
        <f>Summary!K6</f>
        <v>1.2217149664032399E-2</v>
      </c>
      <c r="U330" s="255">
        <f>Summary!L6</f>
        <v>-4.8960617828512362E-5</v>
      </c>
      <c r="V330" s="211"/>
      <c r="W330" s="211"/>
    </row>
    <row r="331" spans="1:23" x14ac:dyDescent="0.2">
      <c r="O331" s="257"/>
      <c r="P331" s="179"/>
      <c r="Q331" s="258"/>
      <c r="R331" s="256"/>
      <c r="S331" s="256"/>
      <c r="T331" s="259"/>
      <c r="U331" s="259"/>
      <c r="V331" s="259"/>
      <c r="W331" s="179"/>
    </row>
    <row r="332" spans="1:23" x14ac:dyDescent="0.2">
      <c r="O332" s="260" t="s">
        <v>1</v>
      </c>
      <c r="P332" s="261"/>
      <c r="Q332" s="258"/>
      <c r="R332" s="256"/>
      <c r="S332" s="256"/>
      <c r="T332" s="259"/>
      <c r="U332" s="259"/>
      <c r="V332" s="262">
        <f>'Rate Class Energy Model'!F20</f>
        <v>1.0688519332975077</v>
      </c>
      <c r="W332" s="220">
        <f>V332</f>
        <v>1.0688519332975077</v>
      </c>
    </row>
    <row r="333" spans="1:23" x14ac:dyDescent="0.2">
      <c r="O333" s="260"/>
      <c r="P333" s="261"/>
      <c r="Q333" s="258"/>
      <c r="R333" s="256"/>
      <c r="S333" s="256"/>
      <c r="T333" s="259"/>
      <c r="U333" s="259"/>
      <c r="V333" s="259"/>
      <c r="W333" s="179"/>
    </row>
    <row r="334" spans="1:23" x14ac:dyDescent="0.2">
      <c r="O334" s="260" t="s">
        <v>254</v>
      </c>
      <c r="P334" s="213"/>
      <c r="Q334" s="179"/>
      <c r="R334" s="213"/>
      <c r="S334" s="213"/>
      <c r="T334" s="213"/>
      <c r="U334" s="213"/>
      <c r="V334" s="213">
        <f>V329/V332</f>
        <v>234637983.11408827</v>
      </c>
      <c r="W334" s="213">
        <f>W329/W332</f>
        <v>233105619.32986757</v>
      </c>
    </row>
    <row r="335" spans="1:23" x14ac:dyDescent="0.2">
      <c r="O335" s="260" t="s">
        <v>255</v>
      </c>
      <c r="P335" s="213"/>
      <c r="Q335" s="179"/>
      <c r="R335" s="213"/>
      <c r="S335" s="213"/>
      <c r="T335" s="213"/>
      <c r="U335" s="213"/>
      <c r="V335" s="213">
        <f>'Rate Class Energy Model'!O71</f>
        <v>1532245.8880461291</v>
      </c>
      <c r="W335" s="213">
        <f>'Rate Class Energy Model'!O72</f>
        <v>3352725.4558884841</v>
      </c>
    </row>
    <row r="336" spans="1:23" x14ac:dyDescent="0.2">
      <c r="O336" s="260" t="s">
        <v>256</v>
      </c>
      <c r="P336" s="213">
        <f>Summary!H10</f>
        <v>241928636.40000001</v>
      </c>
      <c r="R336" s="213">
        <f>Summary!I10</f>
        <v>233351045.58096856</v>
      </c>
      <c r="S336" s="213">
        <f>Summary!J10</f>
        <v>229730886.55255783</v>
      </c>
      <c r="T336" s="213">
        <f>Summary!K10</f>
        <v>230942887.5</v>
      </c>
      <c r="U336" s="213">
        <f>Summary!L10</f>
        <v>232502517.32197464</v>
      </c>
      <c r="V336" s="213">
        <f>V334-V335</f>
        <v>233105737.22604215</v>
      </c>
      <c r="W336" s="213">
        <f>W334-W335</f>
        <v>229752893.87397909</v>
      </c>
    </row>
    <row r="337" spans="15:23" x14ac:dyDescent="0.2">
      <c r="O337" s="263"/>
      <c r="P337" s="263"/>
      <c r="Q337" s="216"/>
      <c r="R337" s="256"/>
      <c r="S337" s="259"/>
      <c r="T337" s="259"/>
      <c r="U337" s="259"/>
      <c r="V337" s="259"/>
      <c r="W337" s="179"/>
    </row>
    <row r="338" spans="15:23" x14ac:dyDescent="0.2">
      <c r="O338" s="360" t="s">
        <v>257</v>
      </c>
      <c r="P338" s="361"/>
      <c r="Q338" s="361"/>
      <c r="R338" s="361"/>
      <c r="S338" s="361"/>
      <c r="T338" s="361"/>
      <c r="U338" s="361"/>
      <c r="V338" s="361"/>
      <c r="W338" s="362"/>
    </row>
    <row r="339" spans="15:23" x14ac:dyDescent="0.2">
      <c r="O339" s="264" t="s">
        <v>167</v>
      </c>
      <c r="P339" s="264"/>
      <c r="Q339" s="211"/>
      <c r="R339" s="211"/>
      <c r="S339" s="254"/>
      <c r="T339" s="254"/>
      <c r="U339" s="254"/>
      <c r="V339" s="254"/>
      <c r="W339" s="179"/>
    </row>
    <row r="340" spans="15:23" x14ac:dyDescent="0.2">
      <c r="O340" s="192" t="s">
        <v>48</v>
      </c>
      <c r="P340" s="211">
        <f>Summary!H14</f>
        <v>9931.5</v>
      </c>
      <c r="Q340" s="211">
        <f>B79</f>
        <v>10023.425678689409</v>
      </c>
      <c r="R340" s="211">
        <f>Summary!I14</f>
        <v>10007.5</v>
      </c>
      <c r="S340" s="211">
        <f>Summary!J14</f>
        <v>10082.5</v>
      </c>
      <c r="T340" s="211">
        <f>Summary!K14</f>
        <v>10153.5</v>
      </c>
      <c r="U340" s="211">
        <f>Summary!L14</f>
        <v>10217.5</v>
      </c>
      <c r="V340" s="211">
        <f>Summary!M14</f>
        <v>10301.603081592852</v>
      </c>
      <c r="W340" s="211">
        <f>Summary!N14</f>
        <v>10386.398439019657</v>
      </c>
    </row>
    <row r="341" spans="15:23" x14ac:dyDescent="0.2">
      <c r="O341" s="204" t="s">
        <v>49</v>
      </c>
      <c r="P341" s="211">
        <f>Summary!H15</f>
        <v>91775630</v>
      </c>
      <c r="Q341" s="211">
        <f>B62*1000000</f>
        <v>95979438.068175137</v>
      </c>
      <c r="R341" s="211">
        <f>Summary!I15</f>
        <v>90281488</v>
      </c>
      <c r="S341" s="211">
        <f>Summary!J15</f>
        <v>88791227</v>
      </c>
      <c r="T341" s="211">
        <f>Summary!K15</f>
        <v>89130958</v>
      </c>
      <c r="U341" s="211">
        <f>Summary!L15</f>
        <v>90749018</v>
      </c>
      <c r="V341" s="211">
        <f>Summary!M15</f>
        <v>92479879.620842174</v>
      </c>
      <c r="W341" s="211">
        <f>Summary!N15</f>
        <v>92079767.015226617</v>
      </c>
    </row>
    <row r="342" spans="15:23" x14ac:dyDescent="0.2">
      <c r="O342" s="263"/>
      <c r="P342" s="263"/>
      <c r="Q342" s="211"/>
      <c r="R342" s="211"/>
      <c r="S342" s="254"/>
      <c r="T342" s="254"/>
      <c r="U342" s="254"/>
      <c r="V342" s="254"/>
      <c r="W342" s="179"/>
    </row>
    <row r="343" spans="15:23" x14ac:dyDescent="0.2">
      <c r="O343" s="264" t="str">
        <f>C274</f>
        <v>GS&lt;50</v>
      </c>
      <c r="P343" s="264"/>
      <c r="Q343" s="211"/>
      <c r="R343" s="211"/>
      <c r="S343" s="254"/>
      <c r="T343" s="254"/>
      <c r="U343" s="254"/>
      <c r="V343" s="254"/>
      <c r="W343" s="179"/>
    </row>
    <row r="344" spans="15:23" x14ac:dyDescent="0.2">
      <c r="O344" s="192" t="s">
        <v>48</v>
      </c>
      <c r="P344" s="211">
        <f>Summary!H18</f>
        <v>1194</v>
      </c>
      <c r="Q344" s="211">
        <f>C79</f>
        <v>1214.4801246521154</v>
      </c>
      <c r="R344" s="211">
        <f>Summary!I18</f>
        <v>1205</v>
      </c>
      <c r="S344" s="211">
        <f>Summary!J18</f>
        <v>1207.5</v>
      </c>
      <c r="T344" s="211">
        <f>Summary!K18</f>
        <v>1214.5</v>
      </c>
      <c r="U344" s="211">
        <f>Summary!L18</f>
        <v>1221</v>
      </c>
      <c r="V344" s="211">
        <f>Summary!M18</f>
        <v>1237.0605612126985</v>
      </c>
      <c r="W344" s="211">
        <f>Summary!N18</f>
        <v>1253.3323768287278</v>
      </c>
    </row>
    <row r="345" spans="15:23" x14ac:dyDescent="0.2">
      <c r="O345" s="204" t="s">
        <v>49</v>
      </c>
      <c r="P345" s="211">
        <f>Summary!H19</f>
        <v>30635475</v>
      </c>
      <c r="Q345" s="211">
        <f>C62*1000000</f>
        <v>32594961.595119238</v>
      </c>
      <c r="R345" s="211">
        <f>Summary!I19</f>
        <v>29408826</v>
      </c>
      <c r="S345" s="211">
        <f>Summary!J19</f>
        <v>28921439</v>
      </c>
      <c r="T345" s="211">
        <f>Summary!K19</f>
        <v>29746584</v>
      </c>
      <c r="U345" s="211">
        <f>Summary!L19</f>
        <v>28622003</v>
      </c>
      <c r="V345" s="211">
        <f>Summary!M19</f>
        <v>29223413.333587732</v>
      </c>
      <c r="W345" s="211">
        <f>Summary!N19</f>
        <v>29137273.513669658</v>
      </c>
    </row>
    <row r="346" spans="15:23" x14ac:dyDescent="0.2">
      <c r="O346" s="263"/>
      <c r="P346" s="263"/>
      <c r="Q346" s="211"/>
      <c r="R346" s="211"/>
      <c r="S346" s="254"/>
      <c r="T346" s="254"/>
      <c r="U346" s="254"/>
      <c r="V346" s="254"/>
      <c r="W346" s="179"/>
    </row>
    <row r="347" spans="15:23" x14ac:dyDescent="0.2">
      <c r="O347" s="264" t="str">
        <f>Summary!A21</f>
        <v>GS&gt;50</v>
      </c>
      <c r="P347" s="264"/>
      <c r="Q347" s="211"/>
      <c r="R347" s="211"/>
      <c r="S347" s="254"/>
      <c r="T347" s="254"/>
      <c r="U347" s="254"/>
      <c r="V347" s="254"/>
      <c r="W347" s="179"/>
    </row>
    <row r="348" spans="15:23" x14ac:dyDescent="0.2">
      <c r="O348" s="192" t="s">
        <v>48</v>
      </c>
      <c r="P348" s="211">
        <f>Summary!H22</f>
        <v>95</v>
      </c>
      <c r="Q348" s="211">
        <f>D79</f>
        <v>93.462448747383306</v>
      </c>
      <c r="R348" s="211">
        <f>Summary!I22</f>
        <v>89</v>
      </c>
      <c r="S348" s="211">
        <f>Summary!J22</f>
        <v>89</v>
      </c>
      <c r="T348" s="211">
        <f>Summary!K22</f>
        <v>90</v>
      </c>
      <c r="U348" s="211">
        <f>Summary!L22</f>
        <v>92.5</v>
      </c>
      <c r="V348" s="211">
        <f>Summary!M22</f>
        <v>92.5</v>
      </c>
      <c r="W348" s="211">
        <f>Summary!N22</f>
        <v>92.5</v>
      </c>
    </row>
    <row r="349" spans="15:23" x14ac:dyDescent="0.2">
      <c r="O349" s="204" t="s">
        <v>49</v>
      </c>
      <c r="P349" s="211">
        <f>Summary!H23</f>
        <v>64324224</v>
      </c>
      <c r="Q349" s="211">
        <f>D62*1000000</f>
        <v>66668106.413480401</v>
      </c>
      <c r="R349" s="211">
        <f>Summary!I23</f>
        <v>60934472.188461378</v>
      </c>
      <c r="S349" s="211">
        <f>Summary!J23</f>
        <v>59427521.597267792</v>
      </c>
      <c r="T349" s="211">
        <f>Summary!K23</f>
        <v>57346380</v>
      </c>
      <c r="U349" s="211">
        <f>Summary!L23</f>
        <v>62304426.670519009</v>
      </c>
      <c r="V349" s="211">
        <f>Summary!M23</f>
        <v>62116820.189978786</v>
      </c>
      <c r="W349" s="211">
        <f>Summary!N23</f>
        <v>60741787.912906595</v>
      </c>
    </row>
    <row r="350" spans="15:23" x14ac:dyDescent="0.2">
      <c r="O350" s="204" t="s">
        <v>50</v>
      </c>
      <c r="P350" s="211">
        <f>Summary!H24</f>
        <v>195460.9</v>
      </c>
      <c r="Q350" s="211">
        <v>214066.91291445112</v>
      </c>
      <c r="R350" s="211">
        <f>Summary!I24</f>
        <v>186873.8</v>
      </c>
      <c r="S350" s="211">
        <f>Summary!J24</f>
        <v>181892.6</v>
      </c>
      <c r="T350" s="211">
        <f>Summary!K24</f>
        <v>186325.9</v>
      </c>
      <c r="U350" s="211">
        <f>Summary!L24</f>
        <v>195328</v>
      </c>
      <c r="V350" s="211">
        <f>Summary!M24</f>
        <v>192808.33579213487</v>
      </c>
      <c r="W350" s="211">
        <f>Summary!N24</f>
        <v>188540.28594360882</v>
      </c>
    </row>
    <row r="351" spans="15:23" x14ac:dyDescent="0.2">
      <c r="O351" s="263"/>
      <c r="P351" s="263"/>
      <c r="Q351" s="211"/>
      <c r="R351" s="211"/>
      <c r="S351" s="211"/>
      <c r="T351" s="211"/>
      <c r="U351" s="211"/>
      <c r="V351" s="211"/>
      <c r="W351" s="179"/>
    </row>
    <row r="352" spans="15:23" x14ac:dyDescent="0.2">
      <c r="O352" s="264" t="s">
        <v>170</v>
      </c>
      <c r="P352" s="264"/>
      <c r="Q352" s="211"/>
      <c r="R352" s="211"/>
      <c r="S352" s="254"/>
      <c r="T352" s="254"/>
      <c r="U352" s="254"/>
      <c r="V352" s="254"/>
      <c r="W352" s="179"/>
    </row>
    <row r="353" spans="15:23" x14ac:dyDescent="0.2">
      <c r="O353" s="192" t="s">
        <v>65</v>
      </c>
      <c r="P353" s="211">
        <f>Summary!H27</f>
        <v>2789.5</v>
      </c>
      <c r="Q353" s="211">
        <v>2801.1936395745015</v>
      </c>
      <c r="R353" s="211">
        <f>Summary!I27</f>
        <v>2798.5</v>
      </c>
      <c r="S353" s="211">
        <f>Summary!J27</f>
        <v>2807.5</v>
      </c>
      <c r="T353" s="211">
        <f>Summary!K27</f>
        <v>2816.5</v>
      </c>
      <c r="U353" s="211">
        <f>Summary!L27</f>
        <v>2825.5</v>
      </c>
      <c r="V353" s="211">
        <f>Summary!M27</f>
        <v>2825.5</v>
      </c>
      <c r="W353" s="211">
        <f>Summary!N27</f>
        <v>2825.5</v>
      </c>
    </row>
    <row r="354" spans="15:23" x14ac:dyDescent="0.2">
      <c r="O354" s="204" t="s">
        <v>49</v>
      </c>
      <c r="P354" s="211">
        <f>Summary!H28</f>
        <v>2245234</v>
      </c>
      <c r="Q354" s="211">
        <v>2225083.8466967554</v>
      </c>
      <c r="R354" s="211">
        <f>Summary!I28</f>
        <v>2346377.4925071769</v>
      </c>
      <c r="S354" s="211">
        <f>Summary!J28</f>
        <v>2512897.9552900312</v>
      </c>
      <c r="T354" s="211">
        <f>Summary!K28</f>
        <v>2302093</v>
      </c>
      <c r="U354" s="211">
        <f>Summary!L28</f>
        <v>2368288.5914556528</v>
      </c>
      <c r="V354" s="211">
        <f>Summary!M28</f>
        <v>2374163.9315875084</v>
      </c>
      <c r="W354" s="211">
        <f>Summary!N28</f>
        <v>2380053.8474859283</v>
      </c>
    </row>
    <row r="355" spans="15:23" x14ac:dyDescent="0.2">
      <c r="O355" s="204" t="s">
        <v>50</v>
      </c>
      <c r="P355" s="211">
        <f>Summary!H29</f>
        <v>5760</v>
      </c>
      <c r="Q355" s="211">
        <v>6082.8591488972397</v>
      </c>
      <c r="R355" s="211">
        <f>Summary!I29</f>
        <v>6353.7</v>
      </c>
      <c r="S355" s="211">
        <f>Summary!J29</f>
        <v>6799.3</v>
      </c>
      <c r="T355" s="211">
        <f>Summary!K29</f>
        <v>6450</v>
      </c>
      <c r="U355" s="211">
        <f>Summary!L29</f>
        <v>6398</v>
      </c>
      <c r="V355" s="211">
        <f>Summary!M29</f>
        <v>6459.7804117359783</v>
      </c>
      <c r="W355" s="211">
        <f>Summary!N29</f>
        <v>6475.806079905381</v>
      </c>
    </row>
    <row r="356" spans="15:23" x14ac:dyDescent="0.2">
      <c r="O356" s="228"/>
      <c r="P356" s="307"/>
      <c r="Q356" s="211"/>
      <c r="R356" s="211"/>
      <c r="S356" s="211"/>
      <c r="T356" s="211"/>
      <c r="U356" s="211"/>
      <c r="V356" s="211"/>
      <c r="W356" s="211"/>
    </row>
    <row r="357" spans="15:23" x14ac:dyDescent="0.2">
      <c r="O357" s="264" t="str">
        <f>F274</f>
        <v>Unmetered Scattered Load</v>
      </c>
      <c r="P357" s="264"/>
      <c r="Q357" s="211"/>
      <c r="R357" s="211"/>
      <c r="S357" s="254"/>
      <c r="T357" s="254"/>
      <c r="U357" s="254"/>
      <c r="V357" s="254"/>
      <c r="W357" s="179"/>
    </row>
    <row r="358" spans="15:23" x14ac:dyDescent="0.2">
      <c r="O358" s="192" t="s">
        <v>65</v>
      </c>
      <c r="P358" s="211">
        <f>Summary!H32</f>
        <v>32.5</v>
      </c>
      <c r="Q358" s="211">
        <v>32.02858627679273</v>
      </c>
      <c r="R358" s="211">
        <f>Summary!I32</f>
        <v>31.5</v>
      </c>
      <c r="S358" s="211">
        <f>Summary!J32</f>
        <v>31.5</v>
      </c>
      <c r="T358" s="211">
        <f>Summary!K32</f>
        <v>31</v>
      </c>
      <c r="U358" s="211">
        <f>Summary!L32</f>
        <v>31</v>
      </c>
      <c r="V358" s="211">
        <f>Summary!M32</f>
        <v>31</v>
      </c>
      <c r="W358" s="211">
        <f>Summary!N32</f>
        <v>31</v>
      </c>
    </row>
    <row r="359" spans="15:23" x14ac:dyDescent="0.2">
      <c r="O359" s="228" t="s">
        <v>49</v>
      </c>
      <c r="P359" s="211">
        <f>Summary!H33</f>
        <v>201696</v>
      </c>
      <c r="Q359" s="211">
        <v>188991.4155690055</v>
      </c>
      <c r="R359" s="211">
        <f>Summary!I33</f>
        <v>262229</v>
      </c>
      <c r="S359" s="211">
        <f>Summary!J33</f>
        <v>260597</v>
      </c>
      <c r="T359" s="211">
        <f>Summary!K33</f>
        <v>259677</v>
      </c>
      <c r="U359" s="211">
        <f>Summary!L33</f>
        <v>259607</v>
      </c>
      <c r="V359" s="211">
        <f>Summary!M33</f>
        <v>262206.68799682555</v>
      </c>
      <c r="W359" s="211">
        <f>Summary!N33</f>
        <v>264832.40910400957</v>
      </c>
    </row>
    <row r="360" spans="15:23" x14ac:dyDescent="0.2">
      <c r="O360" s="228"/>
      <c r="P360" s="307"/>
      <c r="Q360" s="307"/>
      <c r="R360" s="211"/>
      <c r="S360" s="211"/>
      <c r="T360" s="211"/>
      <c r="U360" s="211"/>
      <c r="V360" s="211"/>
      <c r="W360" s="211"/>
    </row>
    <row r="361" spans="15:23" x14ac:dyDescent="0.2">
      <c r="O361" s="264" t="str">
        <f>G274</f>
        <v>Sentinel Lights</v>
      </c>
      <c r="P361" s="264"/>
      <c r="Q361" s="264"/>
      <c r="R361" s="211"/>
      <c r="S361" s="211"/>
      <c r="T361" s="211"/>
      <c r="U361" s="211"/>
      <c r="V361" s="211"/>
      <c r="W361" s="211"/>
    </row>
    <row r="362" spans="15:23" x14ac:dyDescent="0.2">
      <c r="O362" s="192" t="s">
        <v>65</v>
      </c>
      <c r="P362" s="211">
        <f>Summary!H36</f>
        <v>7</v>
      </c>
      <c r="Q362" s="211">
        <v>7</v>
      </c>
      <c r="R362" s="211">
        <f>Summary!I36</f>
        <v>7</v>
      </c>
      <c r="S362" s="211">
        <f>Summary!J36</f>
        <v>7</v>
      </c>
      <c r="T362" s="211">
        <f>Summary!K36</f>
        <v>7</v>
      </c>
      <c r="U362" s="211">
        <f>Summary!L36</f>
        <v>7</v>
      </c>
      <c r="V362" s="211">
        <f>Summary!M36</f>
        <v>7</v>
      </c>
      <c r="W362" s="211">
        <f>Summary!N36</f>
        <v>7</v>
      </c>
    </row>
    <row r="363" spans="15:23" x14ac:dyDescent="0.2">
      <c r="O363" s="228" t="s">
        <v>49</v>
      </c>
      <c r="P363" s="211">
        <f>Summary!H37</f>
        <v>5962</v>
      </c>
      <c r="Q363" s="211">
        <v>5564.2966477781893</v>
      </c>
      <c r="R363" s="211">
        <f>Summary!I37</f>
        <v>5962</v>
      </c>
      <c r="S363" s="211">
        <f>Summary!J37</f>
        <v>5962</v>
      </c>
      <c r="T363" s="211">
        <f>Summary!K37</f>
        <v>5962</v>
      </c>
      <c r="U363" s="211">
        <f>Summary!L37</f>
        <v>5962</v>
      </c>
      <c r="V363" s="211">
        <f>Summary!M37</f>
        <v>5962</v>
      </c>
      <c r="W363" s="211">
        <f>Summary!N37</f>
        <v>5962</v>
      </c>
    </row>
    <row r="364" spans="15:23" x14ac:dyDescent="0.2">
      <c r="O364" s="228" t="s">
        <v>50</v>
      </c>
      <c r="P364" s="211">
        <f>Summary!H38</f>
        <v>14</v>
      </c>
      <c r="Q364" s="211">
        <v>15.091686685374189</v>
      </c>
      <c r="R364" s="211">
        <f>Summary!I38</f>
        <v>14</v>
      </c>
      <c r="S364" s="211">
        <f>Summary!J38</f>
        <v>14</v>
      </c>
      <c r="T364" s="211">
        <f>Summary!K38</f>
        <v>14</v>
      </c>
      <c r="U364" s="211">
        <f>Summary!L38</f>
        <v>14</v>
      </c>
      <c r="V364" s="211">
        <f>Summary!M38</f>
        <v>14</v>
      </c>
      <c r="W364" s="211">
        <f>Summary!N38</f>
        <v>14</v>
      </c>
    </row>
    <row r="365" spans="15:23" x14ac:dyDescent="0.2">
      <c r="O365" s="228"/>
      <c r="P365" s="307"/>
      <c r="Q365" s="307"/>
      <c r="R365" s="211"/>
      <c r="S365" s="211"/>
      <c r="T365" s="211"/>
      <c r="U365" s="211"/>
      <c r="V365" s="211"/>
      <c r="W365" s="211"/>
    </row>
    <row r="366" spans="15:23" x14ac:dyDescent="0.2">
      <c r="O366" s="264" t="str">
        <f>H274</f>
        <v>Embedded Distributor</v>
      </c>
      <c r="P366" s="264"/>
      <c r="Q366" s="264"/>
      <c r="R366" s="211"/>
      <c r="S366" s="211"/>
      <c r="T366" s="211"/>
      <c r="U366" s="211"/>
      <c r="V366" s="211"/>
      <c r="W366" s="211"/>
    </row>
    <row r="367" spans="15:23" x14ac:dyDescent="0.2">
      <c r="O367" s="192" t="s">
        <v>48</v>
      </c>
      <c r="P367" s="211">
        <f>Summary!H41</f>
        <v>4</v>
      </c>
      <c r="Q367" s="211">
        <v>4</v>
      </c>
      <c r="R367" s="211">
        <f>Summary!I41</f>
        <v>4</v>
      </c>
      <c r="S367" s="211">
        <f>Summary!J41</f>
        <v>4</v>
      </c>
      <c r="T367" s="211">
        <f>Summary!K41</f>
        <v>4</v>
      </c>
      <c r="U367" s="211">
        <f>Summary!L41</f>
        <v>4</v>
      </c>
      <c r="V367" s="211">
        <f>Summary!M41</f>
        <v>4</v>
      </c>
      <c r="W367" s="211">
        <f>Summary!N41</f>
        <v>4</v>
      </c>
    </row>
    <row r="368" spans="15:23" x14ac:dyDescent="0.2">
      <c r="O368" s="228" t="s">
        <v>49</v>
      </c>
      <c r="P368" s="211">
        <f>Summary!H42</f>
        <v>52740415.399999999</v>
      </c>
      <c r="Q368" s="211">
        <v>42996782.152953438</v>
      </c>
      <c r="R368" s="211">
        <f>Summary!I42</f>
        <v>50111690.900000006</v>
      </c>
      <c r="S368" s="211">
        <f>Summary!J42</f>
        <v>49811242</v>
      </c>
      <c r="T368" s="211">
        <f>Summary!K42</f>
        <v>52151233.5</v>
      </c>
      <c r="U368" s="211">
        <f>Summary!L42</f>
        <v>48193212.060000002</v>
      </c>
      <c r="V368" s="211">
        <f>Summary!M42</f>
        <v>46643291.462049104</v>
      </c>
      <c r="W368" s="211">
        <f>Summary!N42</f>
        <v>45143217.175586261</v>
      </c>
    </row>
    <row r="369" spans="6:31" x14ac:dyDescent="0.2">
      <c r="O369" s="228" t="s">
        <v>50</v>
      </c>
      <c r="P369" s="211">
        <f>Summary!H43</f>
        <v>113910.59999999999</v>
      </c>
      <c r="Q369" s="211">
        <v>96048.524183723959</v>
      </c>
      <c r="R369" s="211">
        <f>Summary!I43</f>
        <v>111193.80000000002</v>
      </c>
      <c r="S369" s="211">
        <f>Summary!J43</f>
        <v>110634.70000000001</v>
      </c>
      <c r="T369" s="211">
        <f>Summary!K43</f>
        <v>115370.49999999999</v>
      </c>
      <c r="U369" s="211">
        <f>Summary!L43</f>
        <v>105467.49</v>
      </c>
      <c r="V369" s="211">
        <f>Summary!M43</f>
        <v>100002.37884363059</v>
      </c>
      <c r="W369" s="211">
        <f>Summary!N43</f>
        <v>96786.246525642244</v>
      </c>
    </row>
    <row r="370" spans="6:31" x14ac:dyDescent="0.2">
      <c r="O370" s="263"/>
      <c r="P370" s="263"/>
      <c r="Q370" s="211"/>
      <c r="R370" s="211"/>
      <c r="S370" s="211"/>
      <c r="T370" s="211"/>
      <c r="U370" s="211"/>
      <c r="V370" s="211"/>
      <c r="W370" s="179"/>
    </row>
    <row r="371" spans="6:31" x14ac:dyDescent="0.2">
      <c r="O371" s="265" t="s">
        <v>17</v>
      </c>
      <c r="P371" s="265"/>
      <c r="Q371" s="211"/>
      <c r="R371" s="211"/>
      <c r="S371" s="211"/>
      <c r="T371" s="211"/>
      <c r="U371" s="211"/>
      <c r="V371" s="211"/>
      <c r="W371" s="179"/>
    </row>
    <row r="372" spans="6:31" x14ac:dyDescent="0.2">
      <c r="O372" s="179" t="s">
        <v>55</v>
      </c>
      <c r="P372" s="266">
        <f>P340+P344+P348+P353+P358+P362+P367</f>
        <v>14053.5</v>
      </c>
      <c r="Q372" s="266">
        <f t="shared" ref="Q372:W372" si="95">Q340+Q344+Q348+Q353+Q358+Q362+Q367</f>
        <v>14175.590477940201</v>
      </c>
      <c r="R372" s="266">
        <f t="shared" si="95"/>
        <v>14142.5</v>
      </c>
      <c r="S372" s="266">
        <f t="shared" si="95"/>
        <v>14229</v>
      </c>
      <c r="T372" s="266">
        <f t="shared" si="95"/>
        <v>14316.5</v>
      </c>
      <c r="U372" s="266">
        <f t="shared" si="95"/>
        <v>14398.5</v>
      </c>
      <c r="V372" s="266">
        <f t="shared" si="95"/>
        <v>14498.66364280555</v>
      </c>
      <c r="W372" s="266">
        <f t="shared" si="95"/>
        <v>14599.730815848385</v>
      </c>
    </row>
    <row r="373" spans="6:31" x14ac:dyDescent="0.2">
      <c r="O373" s="267" t="s">
        <v>49</v>
      </c>
      <c r="P373" s="266">
        <f t="shared" ref="P373:W374" si="96">P341+P345+P349+P354+P359+P363+P368</f>
        <v>241928636.40000001</v>
      </c>
      <c r="Q373" s="266">
        <f t="shared" si="96"/>
        <v>240658927.78864178</v>
      </c>
      <c r="R373" s="266">
        <f t="shared" si="96"/>
        <v>233351045.58096856</v>
      </c>
      <c r="S373" s="266">
        <f t="shared" si="96"/>
        <v>229730886.55255783</v>
      </c>
      <c r="T373" s="266">
        <f t="shared" si="96"/>
        <v>230942887.5</v>
      </c>
      <c r="U373" s="266">
        <f t="shared" si="96"/>
        <v>232502517.32197464</v>
      </c>
      <c r="V373" s="266">
        <f t="shared" si="96"/>
        <v>233105737.22604215</v>
      </c>
      <c r="W373" s="266">
        <f t="shared" si="96"/>
        <v>229752893.87397906</v>
      </c>
    </row>
    <row r="374" spans="6:31" ht="25.5" x14ac:dyDescent="0.2">
      <c r="L374" s="116"/>
      <c r="M374" s="116"/>
      <c r="N374" s="116"/>
      <c r="O374" s="260" t="s">
        <v>258</v>
      </c>
      <c r="P374" s="266">
        <f t="shared" si="96"/>
        <v>315145.5</v>
      </c>
      <c r="Q374" s="266">
        <f t="shared" si="96"/>
        <v>316213.38793375768</v>
      </c>
      <c r="R374" s="266">
        <f t="shared" si="96"/>
        <v>304435.30000000005</v>
      </c>
      <c r="S374" s="266">
        <f t="shared" si="96"/>
        <v>299340.59999999998</v>
      </c>
      <c r="T374" s="266">
        <f t="shared" si="96"/>
        <v>308160.39999999997</v>
      </c>
      <c r="U374" s="266">
        <f t="shared" si="96"/>
        <v>307207.49</v>
      </c>
      <c r="V374" s="266">
        <f t="shared" si="96"/>
        <v>299284.49504750146</v>
      </c>
      <c r="W374" s="266">
        <f t="shared" si="96"/>
        <v>291816.33854915644</v>
      </c>
    </row>
    <row r="375" spans="6:31" x14ac:dyDescent="0.2">
      <c r="F375" s="116"/>
      <c r="G375" s="116"/>
      <c r="H375" s="116"/>
      <c r="I375" s="116"/>
      <c r="J375" s="116"/>
      <c r="K375" s="116"/>
    </row>
    <row r="376" spans="6:31" x14ac:dyDescent="0.2">
      <c r="P376" s="191"/>
      <c r="Q376" s="339"/>
      <c r="R376" s="191"/>
      <c r="S376" s="191"/>
      <c r="T376" s="191"/>
      <c r="U376" s="191"/>
      <c r="V376" s="191"/>
      <c r="W376" s="191"/>
      <c r="X376" s="116"/>
      <c r="Y376" s="116"/>
      <c r="Z376" s="116"/>
      <c r="AA376" s="227"/>
      <c r="AB376" s="227"/>
      <c r="AC376" s="227"/>
      <c r="AD376" s="227"/>
    </row>
    <row r="377" spans="6:31" x14ac:dyDescent="0.2">
      <c r="F377" s="268"/>
      <c r="G377" s="268"/>
      <c r="H377" s="268"/>
      <c r="I377" s="268"/>
      <c r="J377" s="268"/>
      <c r="K377" s="268"/>
      <c r="P377" s="191"/>
      <c r="Q377" s="191"/>
      <c r="R377" s="191"/>
      <c r="S377" s="191"/>
      <c r="T377" s="191"/>
      <c r="U377" s="191"/>
      <c r="V377" s="191"/>
      <c r="W377" s="191"/>
      <c r="X377" s="116"/>
      <c r="Y377" s="116"/>
      <c r="Z377" s="116"/>
      <c r="AA377" s="251" t="s">
        <v>259</v>
      </c>
      <c r="AB377" s="251"/>
      <c r="AC377" s="251"/>
      <c r="AD377" s="227"/>
    </row>
    <row r="378" spans="6:31" ht="38.25" x14ac:dyDescent="0.2">
      <c r="F378" s="268"/>
      <c r="G378" s="268"/>
      <c r="H378" s="268"/>
      <c r="I378" s="268"/>
      <c r="J378" s="268"/>
      <c r="K378" s="268"/>
      <c r="P378" s="191"/>
      <c r="Q378" s="191"/>
      <c r="R378" s="191"/>
      <c r="S378" s="191"/>
      <c r="T378" s="191"/>
      <c r="U378" s="191"/>
      <c r="V378" s="191"/>
      <c r="W378" s="191"/>
      <c r="X378" s="116"/>
      <c r="Y378" s="116"/>
      <c r="Z378" s="116"/>
      <c r="AA378" s="269" t="s">
        <v>260</v>
      </c>
      <c r="AB378" s="180" t="s">
        <v>246</v>
      </c>
      <c r="AC378" s="270" t="s">
        <v>158</v>
      </c>
      <c r="AD378" s="270" t="s">
        <v>262</v>
      </c>
      <c r="AE378" s="270" t="s">
        <v>263</v>
      </c>
    </row>
    <row r="379" spans="6:31" x14ac:dyDescent="0.2">
      <c r="F379" s="268"/>
      <c r="G379" s="268"/>
      <c r="H379" s="268"/>
      <c r="I379" s="268"/>
      <c r="J379" s="268"/>
      <c r="K379" s="268"/>
      <c r="AA379" s="271" t="str">
        <f t="shared" ref="AA379:AA385" si="97">O5</f>
        <v>Residential</v>
      </c>
      <c r="AB379" s="272">
        <f t="shared" ref="AB379:AB385" si="98">R5</f>
        <v>2055321.799325021</v>
      </c>
      <c r="AC379" s="272">
        <f t="shared" ref="AC379:AC385" si="99">Q5</f>
        <v>2012554</v>
      </c>
      <c r="AD379" s="272">
        <f>AC379-AB379</f>
        <v>-42767.799325020984</v>
      </c>
      <c r="AE379" s="273">
        <f>AD379/AB379</f>
        <v>-2.0808322735187339E-2</v>
      </c>
    </row>
    <row r="380" spans="6:31" x14ac:dyDescent="0.2">
      <c r="P380" s="191"/>
      <c r="Q380" s="191"/>
      <c r="R380" s="191"/>
      <c r="S380" s="191"/>
      <c r="T380" s="191"/>
      <c r="U380" s="191"/>
      <c r="V380" s="191"/>
      <c r="W380" s="191"/>
      <c r="AA380" s="271" t="str">
        <f t="shared" si="97"/>
        <v>GS&lt;50</v>
      </c>
      <c r="AB380" s="272">
        <f t="shared" si="98"/>
        <v>351937.48567666271</v>
      </c>
      <c r="AC380" s="272">
        <f t="shared" si="99"/>
        <v>422909</v>
      </c>
      <c r="AD380" s="272">
        <f t="shared" ref="AD380:AD385" si="100">AC380-AB380</f>
        <v>70971.514323337295</v>
      </c>
      <c r="AE380" s="273">
        <f t="shared" ref="AE380:AE385" si="101">AD380/AB380</f>
        <v>0.20165943445007534</v>
      </c>
    </row>
    <row r="381" spans="6:31" x14ac:dyDescent="0.2">
      <c r="P381" s="191"/>
      <c r="Q381" s="191"/>
      <c r="R381" s="191"/>
      <c r="S381" s="191"/>
      <c r="T381" s="191"/>
      <c r="U381" s="191"/>
      <c r="V381" s="191"/>
      <c r="W381" s="191"/>
      <c r="AA381" s="271" t="str">
        <f t="shared" si="97"/>
        <v>GS&gt;50</v>
      </c>
      <c r="AB381" s="272">
        <f t="shared" si="98"/>
        <v>397449.20428900077</v>
      </c>
      <c r="AC381" s="272">
        <f t="shared" si="99"/>
        <v>431398</v>
      </c>
      <c r="AD381" s="272">
        <f t="shared" si="100"/>
        <v>33948.795710999228</v>
      </c>
      <c r="AE381" s="273">
        <f t="shared" si="101"/>
        <v>8.5416690597558062E-2</v>
      </c>
    </row>
    <row r="382" spans="6:31" x14ac:dyDescent="0.2">
      <c r="P382" s="191"/>
      <c r="Q382" s="191"/>
      <c r="R382" s="191"/>
      <c r="S382" s="191"/>
      <c r="T382" s="191"/>
      <c r="U382" s="191"/>
      <c r="V382" s="191"/>
      <c r="W382" s="191"/>
      <c r="AA382" s="271" t="str">
        <f t="shared" si="97"/>
        <v>Street Lights</v>
      </c>
      <c r="AB382" s="272">
        <f t="shared" si="98"/>
        <v>248.30806107735791</v>
      </c>
      <c r="AC382" s="272">
        <f t="shared" si="99"/>
        <v>381</v>
      </c>
      <c r="AD382" s="272">
        <f t="shared" si="100"/>
        <v>132.69193892264209</v>
      </c>
      <c r="AE382" s="273">
        <f t="shared" si="101"/>
        <v>0.53438433833730126</v>
      </c>
    </row>
    <row r="383" spans="6:31" x14ac:dyDescent="0.2">
      <c r="P383" s="191"/>
      <c r="Q383" s="191"/>
      <c r="R383" s="191"/>
      <c r="S383" s="191"/>
      <c r="T383" s="191"/>
      <c r="U383" s="191"/>
      <c r="V383" s="191"/>
      <c r="W383" s="191"/>
      <c r="AA383" s="271" t="str">
        <f t="shared" si="97"/>
        <v>Unmetered Scattered Load</v>
      </c>
      <c r="AB383" s="272">
        <f t="shared" si="98"/>
        <v>83560.941326882938</v>
      </c>
      <c r="AC383" s="272">
        <f t="shared" si="99"/>
        <v>117759</v>
      </c>
      <c r="AD383" s="272">
        <f t="shared" si="100"/>
        <v>34198.058673117062</v>
      </c>
      <c r="AE383" s="273">
        <f t="shared" si="101"/>
        <v>0.40925889692095868</v>
      </c>
    </row>
    <row r="384" spans="6:31" x14ac:dyDescent="0.2">
      <c r="P384" s="191"/>
      <c r="Q384" s="191"/>
      <c r="R384" s="191"/>
      <c r="S384" s="191"/>
      <c r="T384" s="191"/>
      <c r="U384" s="191"/>
      <c r="V384" s="191"/>
      <c r="W384" s="191"/>
      <c r="AA384" s="271" t="str">
        <f t="shared" si="97"/>
        <v>Sentinel Lights</v>
      </c>
      <c r="AB384" s="272">
        <f t="shared" si="98"/>
        <v>2570.1552505609129</v>
      </c>
      <c r="AC384" s="272">
        <f t="shared" si="99"/>
        <v>3074</v>
      </c>
      <c r="AD384" s="272">
        <f t="shared" si="100"/>
        <v>503.84474943908708</v>
      </c>
      <c r="AE384" s="273">
        <f t="shared" si="101"/>
        <v>0.19603669830027878</v>
      </c>
    </row>
    <row r="385" spans="16:43" x14ac:dyDescent="0.2">
      <c r="P385" s="191"/>
      <c r="Q385" s="191"/>
      <c r="R385" s="191"/>
      <c r="S385" s="191"/>
      <c r="T385" s="191"/>
      <c r="U385" s="191"/>
      <c r="V385" s="191"/>
      <c r="W385" s="191"/>
      <c r="AA385" s="271" t="str">
        <f t="shared" si="97"/>
        <v>Embedded Distributor</v>
      </c>
      <c r="AB385" s="272">
        <f t="shared" si="98"/>
        <v>149301.10607079451</v>
      </c>
      <c r="AC385" s="272">
        <f t="shared" si="99"/>
        <v>102204</v>
      </c>
      <c r="AD385" s="272">
        <f t="shared" si="100"/>
        <v>-47097.106070794514</v>
      </c>
      <c r="AE385" s="273">
        <f t="shared" si="101"/>
        <v>-0.31545048332369585</v>
      </c>
    </row>
    <row r="386" spans="16:43" x14ac:dyDescent="0.2">
      <c r="AA386" s="274" t="s">
        <v>17</v>
      </c>
      <c r="AB386" s="272">
        <f>SUM(AB379:AB385)</f>
        <v>3040389.0000000005</v>
      </c>
      <c r="AC386" s="272">
        <f>SUM(AC379:AC385)</f>
        <v>3090279</v>
      </c>
      <c r="AD386" s="272">
        <f t="shared" ref="AD386" si="102">AC386-AB386</f>
        <v>49889.999999999534</v>
      </c>
      <c r="AE386" s="273">
        <f t="shared" ref="AE386" si="103">AD386/AB386</f>
        <v>1.6409084495437765E-2</v>
      </c>
    </row>
    <row r="387" spans="16:43" x14ac:dyDescent="0.2">
      <c r="AF387" s="227"/>
      <c r="AG387" s="227"/>
      <c r="AH387" s="275"/>
      <c r="AI387" s="275"/>
      <c r="AJ387" s="275"/>
    </row>
    <row r="388" spans="16:43" x14ac:dyDescent="0.2">
      <c r="AF388" s="251" t="s">
        <v>264</v>
      </c>
      <c r="AG388" s="251"/>
      <c r="AH388" s="251"/>
      <c r="AI388" s="227"/>
      <c r="AJ388" s="275"/>
    </row>
    <row r="389" spans="16:43" ht="54.75" customHeight="1" x14ac:dyDescent="0.2">
      <c r="AF389" s="276" t="s">
        <v>265</v>
      </c>
      <c r="AG389" s="354" t="s">
        <v>266</v>
      </c>
      <c r="AH389" s="354"/>
      <c r="AI389" s="189" t="s">
        <v>267</v>
      </c>
      <c r="AJ389" s="355" t="s">
        <v>268</v>
      </c>
      <c r="AK389" s="355"/>
      <c r="AL389" s="356" t="s">
        <v>269</v>
      </c>
      <c r="AM389" s="356"/>
      <c r="AN389" s="356" t="s">
        <v>270</v>
      </c>
      <c r="AO389" s="356"/>
      <c r="AP389" s="356" t="s">
        <v>271</v>
      </c>
      <c r="AQ389" s="356"/>
    </row>
    <row r="390" spans="16:43" ht="19.5" customHeight="1" x14ac:dyDescent="0.2">
      <c r="AF390" s="358" t="str">
        <f>F130</f>
        <v>Weather 
Normal Conversion 
Factor</v>
      </c>
      <c r="AG390" s="358"/>
      <c r="AH390" s="358"/>
      <c r="AI390" s="358"/>
      <c r="AJ390" s="358"/>
      <c r="AK390" s="358"/>
      <c r="AL390" s="277">
        <f>F138</f>
        <v>0.99866911032188388</v>
      </c>
      <c r="AM390" s="278"/>
      <c r="AN390" s="356"/>
      <c r="AO390" s="356"/>
      <c r="AP390" s="356"/>
      <c r="AQ390" s="356"/>
    </row>
    <row r="391" spans="16:43" ht="38.25" x14ac:dyDescent="0.2">
      <c r="AF391" s="279"/>
      <c r="AG391" s="180" t="str">
        <f>AB378</f>
        <v>2012 
Actual</v>
      </c>
      <c r="AH391" s="180" t="str">
        <f>AC378</f>
        <v>2012 Board Approved</v>
      </c>
      <c r="AI391" s="280"/>
      <c r="AJ391" s="180" t="s">
        <v>246</v>
      </c>
      <c r="AK391" s="180" t="s">
        <v>158</v>
      </c>
      <c r="AL391" s="180" t="s">
        <v>261</v>
      </c>
      <c r="AM391" s="180" t="s">
        <v>158</v>
      </c>
      <c r="AN391" s="180" t="s">
        <v>261</v>
      </c>
      <c r="AO391" s="180" t="s">
        <v>158</v>
      </c>
      <c r="AP391" s="180" t="s">
        <v>261</v>
      </c>
      <c r="AQ391" s="180" t="s">
        <v>158</v>
      </c>
    </row>
    <row r="392" spans="16:43" x14ac:dyDescent="0.2">
      <c r="AF392" s="271" t="str">
        <f>AA379</f>
        <v>Residential</v>
      </c>
      <c r="AG392" s="266">
        <f>R340</f>
        <v>10007.5</v>
      </c>
      <c r="AH392" s="266">
        <f>Q340</f>
        <v>10023.425678689409</v>
      </c>
      <c r="AI392" s="270" t="s">
        <v>272</v>
      </c>
      <c r="AJ392" s="270">
        <f>R341</f>
        <v>90281488</v>
      </c>
      <c r="AK392" s="270">
        <f>Q341</f>
        <v>95979438.068175137</v>
      </c>
      <c r="AL392" s="270">
        <f>AJ392*$AL$390</f>
        <v>90161333.299495831</v>
      </c>
      <c r="AM392" s="270">
        <f>AK392</f>
        <v>95979438.068175137</v>
      </c>
      <c r="AN392" s="270">
        <f>AJ392/AG392</f>
        <v>9021.3827629278039</v>
      </c>
      <c r="AO392" s="270">
        <f>AK392/AH392</f>
        <v>9575.512518862186</v>
      </c>
      <c r="AP392" s="270">
        <f>AL392/AG392</f>
        <v>9009.3762977262886</v>
      </c>
      <c r="AQ392" s="270">
        <f>AM392/AH392</f>
        <v>9575.512518862186</v>
      </c>
    </row>
    <row r="393" spans="16:43" x14ac:dyDescent="0.2">
      <c r="AF393" s="271" t="str">
        <f t="shared" ref="AF393:AF398" si="104">AA380</f>
        <v>GS&lt;50</v>
      </c>
      <c r="AG393" s="266">
        <f>R344</f>
        <v>1205</v>
      </c>
      <c r="AH393" s="266">
        <f>Q344</f>
        <v>1214.4801246521154</v>
      </c>
      <c r="AI393" s="270" t="s">
        <v>272</v>
      </c>
      <c r="AJ393" s="281">
        <f>R345</f>
        <v>29408826</v>
      </c>
      <c r="AK393" s="281">
        <f>Q345</f>
        <v>32594961.595119238</v>
      </c>
      <c r="AL393" s="270">
        <f t="shared" ref="AL393:AL398" si="105">AJ393*$AL$390</f>
        <v>29369686.097031087</v>
      </c>
      <c r="AM393" s="270">
        <f t="shared" ref="AM393:AM398" si="106">AK393</f>
        <v>32594961.595119238</v>
      </c>
      <c r="AN393" s="270">
        <f t="shared" ref="AN393:AN398" si="107">AJ393/AG393</f>
        <v>24405.664730290457</v>
      </c>
      <c r="AO393" s="270">
        <f t="shared" ref="AO393:AO398" si="108">AK393/AH393</f>
        <v>26838.612615793922</v>
      </c>
      <c r="AP393" s="270">
        <f t="shared" ref="AP393:AP398" si="109">AL393/AG393</f>
        <v>24373.183483013348</v>
      </c>
      <c r="AQ393" s="270">
        <f t="shared" ref="AQ393:AQ398" si="110">AM393/AH393</f>
        <v>26838.612615793922</v>
      </c>
    </row>
    <row r="394" spans="16:43" x14ac:dyDescent="0.2">
      <c r="AF394" s="271" t="str">
        <f t="shared" si="104"/>
        <v>GS&gt;50</v>
      </c>
      <c r="AG394" s="266">
        <f>R348</f>
        <v>89</v>
      </c>
      <c r="AH394" s="266">
        <f>Q348</f>
        <v>93.462448747383306</v>
      </c>
      <c r="AI394" s="270" t="s">
        <v>273</v>
      </c>
      <c r="AJ394" s="281">
        <f>R350</f>
        <v>186873.8</v>
      </c>
      <c r="AK394" s="281">
        <f>Q350</f>
        <v>214066.91291445112</v>
      </c>
      <c r="AL394" s="270">
        <f t="shared" si="105"/>
        <v>186625.09158846966</v>
      </c>
      <c r="AM394" s="270">
        <f t="shared" si="106"/>
        <v>214066.91291445112</v>
      </c>
      <c r="AN394" s="270">
        <f t="shared" si="107"/>
        <v>2099.7056179775282</v>
      </c>
      <c r="AO394" s="270">
        <f t="shared" si="108"/>
        <v>2290.405566978518</v>
      </c>
      <c r="AP394" s="270">
        <f t="shared" si="109"/>
        <v>2096.9111414434792</v>
      </c>
      <c r="AQ394" s="270">
        <f t="shared" si="110"/>
        <v>2290.405566978518</v>
      </c>
    </row>
    <row r="395" spans="16:43" x14ac:dyDescent="0.2">
      <c r="AF395" s="271" t="str">
        <f t="shared" si="104"/>
        <v>Street Lights</v>
      </c>
      <c r="AG395" s="266">
        <f>R353</f>
        <v>2798.5</v>
      </c>
      <c r="AH395" s="266">
        <f>Q353</f>
        <v>2801.1936395745015</v>
      </c>
      <c r="AI395" s="270" t="s">
        <v>273</v>
      </c>
      <c r="AJ395" s="281">
        <f>R355</f>
        <v>6353.7</v>
      </c>
      <c r="AK395" s="281">
        <f>Q355</f>
        <v>6082.8591488972397</v>
      </c>
      <c r="AL395" s="270">
        <f t="shared" si="105"/>
        <v>6345.2439262521539</v>
      </c>
      <c r="AM395" s="270">
        <f t="shared" si="106"/>
        <v>6082.8591488972397</v>
      </c>
      <c r="AN395" s="270">
        <f t="shared" si="107"/>
        <v>2.2703948543862782</v>
      </c>
      <c r="AO395" s="270">
        <f t="shared" si="108"/>
        <v>2.1715239756938831</v>
      </c>
      <c r="AP395" s="270">
        <f t="shared" si="109"/>
        <v>2.2673732093093277</v>
      </c>
      <c r="AQ395" s="270">
        <f t="shared" si="110"/>
        <v>2.1715239756938831</v>
      </c>
    </row>
    <row r="396" spans="16:43" x14ac:dyDescent="0.2">
      <c r="AF396" s="271" t="str">
        <f t="shared" si="104"/>
        <v>Unmetered Scattered Load</v>
      </c>
      <c r="AG396" s="266">
        <f>R358</f>
        <v>31.5</v>
      </c>
      <c r="AH396" s="266">
        <f>Q358</f>
        <v>32.02858627679273</v>
      </c>
      <c r="AI396" s="270" t="s">
        <v>272</v>
      </c>
      <c r="AJ396" s="281">
        <f>R359</f>
        <v>262229</v>
      </c>
      <c r="AK396" s="281">
        <f>Q359</f>
        <v>188991.4155690055</v>
      </c>
      <c r="AL396" s="270">
        <f t="shared" si="105"/>
        <v>261880.00213059728</v>
      </c>
      <c r="AM396" s="270">
        <f t="shared" si="106"/>
        <v>188991.4155690055</v>
      </c>
      <c r="AN396" s="270">
        <f t="shared" si="107"/>
        <v>8324.730158730159</v>
      </c>
      <c r="AO396" s="270">
        <f t="shared" si="108"/>
        <v>5900.7105070367998</v>
      </c>
      <c r="AP396" s="270">
        <f t="shared" si="109"/>
        <v>8313.6508612888028</v>
      </c>
      <c r="AQ396" s="270">
        <f t="shared" si="110"/>
        <v>5900.7105070367998</v>
      </c>
    </row>
    <row r="397" spans="16:43" x14ac:dyDescent="0.2">
      <c r="AF397" s="271" t="str">
        <f t="shared" si="104"/>
        <v>Sentinel Lights</v>
      </c>
      <c r="AG397" s="266">
        <f>R362</f>
        <v>7</v>
      </c>
      <c r="AH397" s="266">
        <f>Q362</f>
        <v>7</v>
      </c>
      <c r="AI397" s="270" t="s">
        <v>273</v>
      </c>
      <c r="AJ397" s="281">
        <f>R364</f>
        <v>14</v>
      </c>
      <c r="AK397" s="281">
        <f>Q364</f>
        <v>15.091686685374189</v>
      </c>
      <c r="AL397" s="270">
        <f t="shared" si="105"/>
        <v>13.981367544506375</v>
      </c>
      <c r="AM397" s="270">
        <f t="shared" si="106"/>
        <v>15.091686685374189</v>
      </c>
      <c r="AN397" s="270">
        <f t="shared" si="107"/>
        <v>2</v>
      </c>
      <c r="AO397" s="270">
        <f t="shared" si="108"/>
        <v>2.1559552407677414</v>
      </c>
      <c r="AP397" s="270">
        <f t="shared" si="109"/>
        <v>1.9973382206437678</v>
      </c>
      <c r="AQ397" s="270">
        <f t="shared" si="110"/>
        <v>2.1559552407677414</v>
      </c>
    </row>
    <row r="398" spans="16:43" x14ac:dyDescent="0.2">
      <c r="AF398" s="271" t="str">
        <f t="shared" si="104"/>
        <v>Embedded Distributor</v>
      </c>
      <c r="AG398" s="266">
        <f>R367</f>
        <v>4</v>
      </c>
      <c r="AH398" s="266">
        <f>Q367</f>
        <v>4</v>
      </c>
      <c r="AI398" s="270" t="s">
        <v>273</v>
      </c>
      <c r="AJ398" s="281">
        <f>R369</f>
        <v>111193.80000000002</v>
      </c>
      <c r="AK398" s="281">
        <f>Q369</f>
        <v>96048.524183723959</v>
      </c>
      <c r="AL398" s="270">
        <f t="shared" si="105"/>
        <v>111045.81331930951</v>
      </c>
      <c r="AM398" s="270">
        <f t="shared" si="106"/>
        <v>96048.524183723959</v>
      </c>
      <c r="AN398" s="270">
        <f t="shared" si="107"/>
        <v>27798.450000000004</v>
      </c>
      <c r="AO398" s="270">
        <f t="shared" si="108"/>
        <v>24012.13104593099</v>
      </c>
      <c r="AP398" s="270">
        <f t="shared" si="109"/>
        <v>27761.453329827378</v>
      </c>
      <c r="AQ398" s="270">
        <f t="shared" si="110"/>
        <v>24012.13104593099</v>
      </c>
    </row>
    <row r="399" spans="16:43" x14ac:dyDescent="0.2">
      <c r="AF399" s="271" t="s">
        <v>11</v>
      </c>
      <c r="AG399" s="266">
        <f>SUM(AG392:AG398)</f>
        <v>14142.5</v>
      </c>
      <c r="AH399" s="266">
        <f>SUM(AH392:AH398)</f>
        <v>14175.590477940201</v>
      </c>
      <c r="AI399" s="270"/>
      <c r="AJ399" s="281"/>
      <c r="AK399" s="281"/>
      <c r="AL399" s="281"/>
      <c r="AM399" s="281"/>
      <c r="AN399" s="281"/>
      <c r="AO399" s="281"/>
      <c r="AP399" s="281"/>
      <c r="AQ399" s="281"/>
    </row>
    <row r="400" spans="16:43" x14ac:dyDescent="0.2">
      <c r="AF400" s="179"/>
      <c r="AG400" s="353" t="s">
        <v>274</v>
      </c>
      <c r="AH400" s="353"/>
      <c r="AI400" s="179"/>
      <c r="AJ400" s="353" t="s">
        <v>274</v>
      </c>
      <c r="AK400" s="353"/>
      <c r="AL400" s="359" t="s">
        <v>274</v>
      </c>
      <c r="AM400" s="359"/>
      <c r="AN400" s="359" t="s">
        <v>274</v>
      </c>
      <c r="AO400" s="359"/>
      <c r="AP400" s="359" t="s">
        <v>274</v>
      </c>
      <c r="AQ400" s="359"/>
    </row>
    <row r="401" spans="27:43" x14ac:dyDescent="0.2">
      <c r="AF401" s="282" t="str">
        <f>AF392</f>
        <v>Residential</v>
      </c>
      <c r="AG401" s="357">
        <f>AH392-AG392</f>
        <v>15.925678689409324</v>
      </c>
      <c r="AH401" s="357"/>
      <c r="AI401" s="270" t="s">
        <v>272</v>
      </c>
      <c r="AJ401" s="357">
        <f>AK392-AJ392</f>
        <v>5697950.068175137</v>
      </c>
      <c r="AK401" s="357"/>
      <c r="AL401" s="357">
        <f>AM392-AL392</f>
        <v>5818104.7686793059</v>
      </c>
      <c r="AM401" s="357"/>
      <c r="AN401" s="357">
        <f>AO392-AN392</f>
        <v>554.12975593438205</v>
      </c>
      <c r="AO401" s="357"/>
      <c r="AP401" s="357">
        <f>AQ392-AP392</f>
        <v>566.13622113589736</v>
      </c>
      <c r="AQ401" s="357"/>
    </row>
    <row r="402" spans="27:43" x14ac:dyDescent="0.2">
      <c r="AF402" s="282" t="str">
        <f t="shared" ref="AF402:AF407" si="111">AF393</f>
        <v>GS&lt;50</v>
      </c>
      <c r="AG402" s="357">
        <f>AH393-AG393</f>
        <v>9.4801246521153644</v>
      </c>
      <c r="AH402" s="357"/>
      <c r="AI402" s="270" t="s">
        <v>272</v>
      </c>
      <c r="AJ402" s="357">
        <f>AK393-AJ393</f>
        <v>3186135.5951192379</v>
      </c>
      <c r="AK402" s="357"/>
      <c r="AL402" s="357">
        <f>AM393-AL393</f>
        <v>3225275.4980881512</v>
      </c>
      <c r="AM402" s="357"/>
      <c r="AN402" s="357">
        <f>AO393-AN393</f>
        <v>2432.9478855034649</v>
      </c>
      <c r="AO402" s="357"/>
      <c r="AP402" s="357">
        <f>AQ393-AP393</f>
        <v>2465.4291327805731</v>
      </c>
      <c r="AQ402" s="357"/>
    </row>
    <row r="403" spans="27:43" x14ac:dyDescent="0.2">
      <c r="AF403" s="282" t="str">
        <f t="shared" si="111"/>
        <v>GS&gt;50</v>
      </c>
      <c r="AG403" s="357">
        <f>AH394-AG394</f>
        <v>4.4624487473833057</v>
      </c>
      <c r="AH403" s="357"/>
      <c r="AI403" s="270" t="s">
        <v>273</v>
      </c>
      <c r="AJ403" s="357">
        <f>AK394-AJ394</f>
        <v>27193.112914451136</v>
      </c>
      <c r="AK403" s="357"/>
      <c r="AL403" s="357">
        <f>AM394-AL394</f>
        <v>27441.821325981466</v>
      </c>
      <c r="AM403" s="357"/>
      <c r="AN403" s="357">
        <f>AO394-AN394</f>
        <v>190.69994900098982</v>
      </c>
      <c r="AO403" s="357"/>
      <c r="AP403" s="357">
        <f>AQ394-AP394</f>
        <v>193.49442553503877</v>
      </c>
      <c r="AQ403" s="357"/>
    </row>
    <row r="404" spans="27:43" x14ac:dyDescent="0.2">
      <c r="AA404" s="227"/>
      <c r="AB404" s="227"/>
      <c r="AC404" s="227"/>
      <c r="AD404" s="227"/>
      <c r="AE404" s="227"/>
      <c r="AF404" s="282" t="str">
        <f t="shared" si="111"/>
        <v>Street Lights</v>
      </c>
      <c r="AG404" s="357">
        <f>AH395-AG395</f>
        <v>2.6936395745015034</v>
      </c>
      <c r="AH404" s="357"/>
      <c r="AI404" s="270" t="s">
        <v>273</v>
      </c>
      <c r="AJ404" s="357">
        <f>AK395-AJ395</f>
        <v>-270.8408511027601</v>
      </c>
      <c r="AK404" s="357"/>
      <c r="AL404" s="357">
        <f>AM395-AL395</f>
        <v>-262.38477735491415</v>
      </c>
      <c r="AM404" s="357"/>
      <c r="AN404" s="357">
        <f>AO395-AN395</f>
        <v>-9.8870878692395081E-2</v>
      </c>
      <c r="AO404" s="357"/>
      <c r="AP404" s="357">
        <f>AQ395-AP395</f>
        <v>-9.5849233615444618E-2</v>
      </c>
      <c r="AQ404" s="357"/>
    </row>
    <row r="405" spans="27:43" x14ac:dyDescent="0.2">
      <c r="AA405" s="227"/>
      <c r="AB405" s="227"/>
      <c r="AC405" s="227"/>
      <c r="AD405" s="227"/>
      <c r="AE405" s="227"/>
      <c r="AF405" s="282" t="str">
        <f t="shared" si="111"/>
        <v>Unmetered Scattered Load</v>
      </c>
      <c r="AG405" s="357">
        <f t="shared" ref="AG405:AG407" si="112">AH396-AG396</f>
        <v>0.52858627679272985</v>
      </c>
      <c r="AH405" s="357"/>
      <c r="AI405" s="270" t="s">
        <v>272</v>
      </c>
      <c r="AJ405" s="357">
        <f t="shared" ref="AJ405:AJ407" si="113">AK396-AJ396</f>
        <v>-73237.584430994495</v>
      </c>
      <c r="AK405" s="357"/>
      <c r="AL405" s="357">
        <f t="shared" ref="AL405:AL407" si="114">AM396-AL396</f>
        <v>-72888.586561591772</v>
      </c>
      <c r="AM405" s="357"/>
      <c r="AN405" s="357">
        <f t="shared" ref="AN405:AN407" si="115">AO396-AN396</f>
        <v>-2424.0196516933593</v>
      </c>
      <c r="AO405" s="357"/>
      <c r="AP405" s="357">
        <f t="shared" ref="AP405:AP407" si="116">AQ396-AP396</f>
        <v>-2412.9403542520031</v>
      </c>
      <c r="AQ405" s="357"/>
    </row>
    <row r="406" spans="27:43" x14ac:dyDescent="0.2">
      <c r="AA406" s="227"/>
      <c r="AB406" s="227"/>
      <c r="AC406" s="227"/>
      <c r="AD406" s="227"/>
      <c r="AE406" s="227"/>
      <c r="AF406" s="282" t="str">
        <f t="shared" si="111"/>
        <v>Sentinel Lights</v>
      </c>
      <c r="AG406" s="357">
        <f t="shared" si="112"/>
        <v>0</v>
      </c>
      <c r="AH406" s="357"/>
      <c r="AI406" s="270" t="s">
        <v>273</v>
      </c>
      <c r="AJ406" s="357">
        <f t="shared" si="113"/>
        <v>1.0916866853741887</v>
      </c>
      <c r="AK406" s="357"/>
      <c r="AL406" s="357">
        <f t="shared" si="114"/>
        <v>1.1103191408678139</v>
      </c>
      <c r="AM406" s="357"/>
      <c r="AN406" s="357">
        <f t="shared" si="115"/>
        <v>0.15595524076774137</v>
      </c>
      <c r="AO406" s="357"/>
      <c r="AP406" s="357">
        <f t="shared" si="116"/>
        <v>0.15861702012397361</v>
      </c>
      <c r="AQ406" s="357"/>
    </row>
    <row r="407" spans="27:43" x14ac:dyDescent="0.2">
      <c r="AA407" s="227"/>
      <c r="AB407" s="227"/>
      <c r="AC407" s="227"/>
      <c r="AD407" s="227"/>
      <c r="AE407" s="227"/>
      <c r="AF407" s="282" t="str">
        <f t="shared" si="111"/>
        <v>Embedded Distributor</v>
      </c>
      <c r="AG407" s="357">
        <f t="shared" si="112"/>
        <v>0</v>
      </c>
      <c r="AH407" s="357"/>
      <c r="AI407" s="270" t="s">
        <v>273</v>
      </c>
      <c r="AJ407" s="357">
        <f t="shared" si="113"/>
        <v>-15145.275816276058</v>
      </c>
      <c r="AK407" s="357"/>
      <c r="AL407" s="357">
        <f t="shared" si="114"/>
        <v>-14997.289135585554</v>
      </c>
      <c r="AM407" s="357"/>
      <c r="AN407" s="357">
        <f t="shared" si="115"/>
        <v>-3786.3189540690146</v>
      </c>
      <c r="AO407" s="357"/>
      <c r="AP407" s="357">
        <f t="shared" si="116"/>
        <v>-3749.3222838963884</v>
      </c>
      <c r="AQ407" s="357"/>
    </row>
    <row r="408" spans="27:43" x14ac:dyDescent="0.2">
      <c r="AA408" s="251" t="s">
        <v>275</v>
      </c>
      <c r="AB408" s="251"/>
      <c r="AC408" s="251"/>
      <c r="AD408" s="227"/>
      <c r="AE408" s="227"/>
    </row>
    <row r="409" spans="27:43" ht="25.5" x14ac:dyDescent="0.2">
      <c r="AA409" s="269" t="s">
        <v>260</v>
      </c>
      <c r="AB409" s="180" t="s">
        <v>157</v>
      </c>
      <c r="AC409" s="270" t="s">
        <v>246</v>
      </c>
      <c r="AD409" s="270" t="s">
        <v>262</v>
      </c>
      <c r="AE409" s="270" t="s">
        <v>263</v>
      </c>
    </row>
    <row r="410" spans="27:43" x14ac:dyDescent="0.2">
      <c r="AA410" s="271" t="str">
        <f t="shared" ref="AA410:AA416" si="117">AA379</f>
        <v>Residential</v>
      </c>
      <c r="AB410" s="272">
        <f t="shared" ref="AB410:AB416" si="118">P5</f>
        <v>1917697</v>
      </c>
      <c r="AC410" s="272">
        <f t="shared" ref="AC410:AC416" si="119">AB379</f>
        <v>2055321.799325021</v>
      </c>
      <c r="AD410" s="272">
        <f>AC410-AB410</f>
        <v>137624.79932502098</v>
      </c>
      <c r="AE410" s="273">
        <f>AD410/AB410</f>
        <v>7.1765664401112886E-2</v>
      </c>
    </row>
    <row r="411" spans="27:43" x14ac:dyDescent="0.2">
      <c r="AA411" s="271" t="str">
        <f t="shared" si="117"/>
        <v>GS&lt;50</v>
      </c>
      <c r="AB411" s="272">
        <f t="shared" si="118"/>
        <v>182517</v>
      </c>
      <c r="AC411" s="272">
        <f t="shared" si="119"/>
        <v>351937.48567666271</v>
      </c>
      <c r="AD411" s="272">
        <f t="shared" ref="AD411:AD416" si="120">AC411-AB411</f>
        <v>169420.48567666271</v>
      </c>
      <c r="AE411" s="273">
        <f t="shared" ref="AE411:AE415" si="121">AD411/AB411</f>
        <v>0.92824496171130744</v>
      </c>
    </row>
    <row r="412" spans="27:43" x14ac:dyDescent="0.2">
      <c r="AA412" s="271" t="str">
        <f t="shared" si="117"/>
        <v>GS&gt;50</v>
      </c>
      <c r="AB412" s="272">
        <f t="shared" si="118"/>
        <v>855946</v>
      </c>
      <c r="AC412" s="272">
        <f t="shared" si="119"/>
        <v>397449.20428900077</v>
      </c>
      <c r="AD412" s="272">
        <f t="shared" si="120"/>
        <v>-458496.79571099923</v>
      </c>
      <c r="AE412" s="273">
        <f t="shared" si="121"/>
        <v>-0.5356608894848498</v>
      </c>
    </row>
    <row r="413" spans="27:43" x14ac:dyDescent="0.2">
      <c r="AA413" s="271" t="str">
        <f t="shared" si="117"/>
        <v>Street Lights</v>
      </c>
      <c r="AB413" s="272">
        <f t="shared" si="118"/>
        <v>564</v>
      </c>
      <c r="AC413" s="272">
        <f t="shared" si="119"/>
        <v>248.30806107735791</v>
      </c>
      <c r="AD413" s="272">
        <f t="shared" si="120"/>
        <v>-315.69193892264207</v>
      </c>
      <c r="AE413" s="273">
        <f t="shared" si="121"/>
        <v>-0.55973748035929449</v>
      </c>
    </row>
    <row r="414" spans="27:43" x14ac:dyDescent="0.2">
      <c r="AA414" s="271" t="str">
        <f t="shared" si="117"/>
        <v>Unmetered Scattered Load</v>
      </c>
      <c r="AB414" s="272">
        <f t="shared" si="118"/>
        <v>563</v>
      </c>
      <c r="AC414" s="272">
        <f t="shared" si="119"/>
        <v>83560.941326882938</v>
      </c>
      <c r="AD414" s="272">
        <f t="shared" si="120"/>
        <v>82997.941326882938</v>
      </c>
      <c r="AE414" s="273">
        <f t="shared" si="121"/>
        <v>147.42085493229652</v>
      </c>
    </row>
    <row r="415" spans="27:43" x14ac:dyDescent="0.2">
      <c r="AA415" s="271" t="str">
        <f t="shared" si="117"/>
        <v>Sentinel Lights</v>
      </c>
      <c r="AB415" s="272">
        <f t="shared" si="118"/>
        <v>2054</v>
      </c>
      <c r="AC415" s="272">
        <f t="shared" si="119"/>
        <v>2570.1552505609129</v>
      </c>
      <c r="AD415" s="272">
        <f t="shared" si="120"/>
        <v>516.15525056091292</v>
      </c>
      <c r="AE415" s="273">
        <f t="shared" si="121"/>
        <v>0.25129272179207057</v>
      </c>
    </row>
    <row r="416" spans="27:43" x14ac:dyDescent="0.2">
      <c r="AA416" s="271" t="str">
        <f t="shared" si="117"/>
        <v>Embedded Distributor</v>
      </c>
      <c r="AB416" s="272">
        <f t="shared" si="118"/>
        <v>0</v>
      </c>
      <c r="AC416" s="272">
        <f t="shared" si="119"/>
        <v>149301.10607079451</v>
      </c>
      <c r="AD416" s="272">
        <f t="shared" si="120"/>
        <v>149301.10607079451</v>
      </c>
      <c r="AE416" s="273"/>
    </row>
    <row r="417" spans="27:43" x14ac:dyDescent="0.2">
      <c r="AA417" s="274" t="s">
        <v>17</v>
      </c>
      <c r="AB417" s="272">
        <f>SUM(AB410:AB416)</f>
        <v>2959341</v>
      </c>
      <c r="AC417" s="272">
        <f>SUM(AC410:AC416)</f>
        <v>3040389.0000000005</v>
      </c>
      <c r="AD417" s="272">
        <f t="shared" ref="AD417" si="122">AC417-AB417</f>
        <v>81048.000000000466</v>
      </c>
      <c r="AE417" s="273">
        <f t="shared" ref="AE417" si="123">AD417/AB417</f>
        <v>2.7387178429251806E-2</v>
      </c>
    </row>
    <row r="419" spans="27:43" x14ac:dyDescent="0.2">
      <c r="AF419" s="251" t="s">
        <v>276</v>
      </c>
      <c r="AG419" s="251"/>
      <c r="AH419" s="251"/>
      <c r="AI419" s="227"/>
      <c r="AJ419" s="275"/>
    </row>
    <row r="420" spans="27:43" ht="48" customHeight="1" x14ac:dyDescent="0.2">
      <c r="AF420" s="276" t="s">
        <v>265</v>
      </c>
      <c r="AG420" s="354" t="s">
        <v>266</v>
      </c>
      <c r="AH420" s="354"/>
      <c r="AI420" s="189" t="s">
        <v>267</v>
      </c>
      <c r="AJ420" s="355" t="s">
        <v>268</v>
      </c>
      <c r="AK420" s="355"/>
      <c r="AL420" s="356" t="s">
        <v>269</v>
      </c>
      <c r="AM420" s="356"/>
      <c r="AN420" s="356" t="s">
        <v>270</v>
      </c>
      <c r="AO420" s="356"/>
      <c r="AP420" s="356" t="s">
        <v>271</v>
      </c>
      <c r="AQ420" s="356"/>
    </row>
    <row r="421" spans="27:43" x14ac:dyDescent="0.2">
      <c r="AF421" s="358" t="str">
        <f>AF390</f>
        <v>Weather 
Normal Conversion 
Factor</v>
      </c>
      <c r="AG421" s="358"/>
      <c r="AH421" s="358"/>
      <c r="AI421" s="358"/>
      <c r="AJ421" s="358"/>
      <c r="AK421" s="358"/>
      <c r="AL421" s="277">
        <f>F137</f>
        <v>0.98709215869999811</v>
      </c>
      <c r="AM421" s="277">
        <f>AL390</f>
        <v>0.99866911032188388</v>
      </c>
      <c r="AN421" s="356"/>
      <c r="AO421" s="356"/>
      <c r="AP421" s="356"/>
      <c r="AQ421" s="356"/>
    </row>
    <row r="422" spans="27:43" ht="25.5" x14ac:dyDescent="0.2">
      <c r="AF422" s="279"/>
      <c r="AG422" s="180" t="str">
        <f>AB409</f>
        <v>2011 
Actual</v>
      </c>
      <c r="AH422" s="180" t="str">
        <f>AC409</f>
        <v>2012 
Actual</v>
      </c>
      <c r="AI422" s="280"/>
      <c r="AJ422" s="180" t="str">
        <f>AG422</f>
        <v>2011 
Actual</v>
      </c>
      <c r="AK422" s="180" t="str">
        <f>AH422</f>
        <v>2012 
Actual</v>
      </c>
      <c r="AL422" s="180" t="str">
        <f>AJ422</f>
        <v>2011 
Actual</v>
      </c>
      <c r="AM422" s="180" t="str">
        <f>AK422</f>
        <v>2012 
Actual</v>
      </c>
      <c r="AN422" s="180" t="str">
        <f>AJ422</f>
        <v>2011 
Actual</v>
      </c>
      <c r="AO422" s="180" t="str">
        <f>AK422</f>
        <v>2012 
Actual</v>
      </c>
      <c r="AP422" s="180" t="str">
        <f>AL422</f>
        <v>2011 
Actual</v>
      </c>
      <c r="AQ422" s="180" t="str">
        <f>AM422</f>
        <v>2012 
Actual</v>
      </c>
    </row>
    <row r="423" spans="27:43" x14ac:dyDescent="0.2">
      <c r="AF423" s="271" t="str">
        <f>AF392</f>
        <v>Residential</v>
      </c>
      <c r="AG423" s="266">
        <f>P340</f>
        <v>9931.5</v>
      </c>
      <c r="AH423" s="266">
        <f>AG392</f>
        <v>10007.5</v>
      </c>
      <c r="AI423" s="270" t="str">
        <f>AI401</f>
        <v>kWh</v>
      </c>
      <c r="AJ423" s="270">
        <f>P341</f>
        <v>91775630</v>
      </c>
      <c r="AK423" s="266">
        <f>AJ392</f>
        <v>90281488</v>
      </c>
      <c r="AL423" s="270">
        <f>AJ423*$AL$421</f>
        <v>90591004.732752308</v>
      </c>
      <c r="AM423" s="266">
        <f>AL392</f>
        <v>90161333.299495831</v>
      </c>
      <c r="AN423" s="270">
        <f>AJ423/AG423</f>
        <v>9240.862910939939</v>
      </c>
      <c r="AO423" s="270">
        <f>AK423/AH423</f>
        <v>9021.3827629278039</v>
      </c>
      <c r="AP423" s="270">
        <f>AL423/AG423</f>
        <v>9121.5833190104531</v>
      </c>
      <c r="AQ423" s="270">
        <f>AM423/AH423</f>
        <v>9009.3762977262886</v>
      </c>
    </row>
    <row r="424" spans="27:43" x14ac:dyDescent="0.2">
      <c r="AF424" s="271" t="str">
        <f t="shared" ref="AF424:AF429" si="124">AF393</f>
        <v>GS&lt;50</v>
      </c>
      <c r="AG424" s="266">
        <f>P344</f>
        <v>1194</v>
      </c>
      <c r="AH424" s="266">
        <f t="shared" ref="AH424:AH429" si="125">AG393</f>
        <v>1205</v>
      </c>
      <c r="AI424" s="270" t="str">
        <f t="shared" ref="AI424:AI429" si="126">AI402</f>
        <v>kWh</v>
      </c>
      <c r="AJ424" s="281">
        <f>P345</f>
        <v>30635475</v>
      </c>
      <c r="AK424" s="266">
        <f t="shared" ref="AK424:AK429" si="127">AJ393</f>
        <v>29408826</v>
      </c>
      <c r="AL424" s="270">
        <f t="shared" ref="AL424:AL429" si="128">AJ424*$AL$421</f>
        <v>30240037.150549825</v>
      </c>
      <c r="AM424" s="266">
        <f t="shared" ref="AM424:AM429" si="129">AL393</f>
        <v>29369686.097031087</v>
      </c>
      <c r="AN424" s="270">
        <f t="shared" ref="AN424:AN429" si="130">AJ424/AG424</f>
        <v>25657.851758793971</v>
      </c>
      <c r="AO424" s="270">
        <f t="shared" ref="AO424:AO429" si="131">AK424/AH424</f>
        <v>24405.664730290457</v>
      </c>
      <c r="AP424" s="270">
        <f t="shared" ref="AP424:AP429" si="132">AL424/AG424</f>
        <v>25326.664280192483</v>
      </c>
      <c r="AQ424" s="270">
        <f t="shared" ref="AQ424:AQ429" si="133">AM424/AH424</f>
        <v>24373.183483013348</v>
      </c>
    </row>
    <row r="425" spans="27:43" x14ac:dyDescent="0.2">
      <c r="AF425" s="271" t="str">
        <f t="shared" si="124"/>
        <v>GS&gt;50</v>
      </c>
      <c r="AG425" s="266">
        <f>P348</f>
        <v>95</v>
      </c>
      <c r="AH425" s="266">
        <f t="shared" si="125"/>
        <v>89</v>
      </c>
      <c r="AI425" s="270" t="str">
        <f t="shared" si="126"/>
        <v>kW</v>
      </c>
      <c r="AJ425" s="281">
        <f>P350</f>
        <v>195460.9</v>
      </c>
      <c r="AK425" s="266">
        <f t="shared" si="127"/>
        <v>186873.8</v>
      </c>
      <c r="AL425" s="270">
        <f t="shared" si="128"/>
        <v>192937.92172244444</v>
      </c>
      <c r="AM425" s="266">
        <f t="shared" si="129"/>
        <v>186625.09158846966</v>
      </c>
      <c r="AN425" s="270">
        <f t="shared" si="130"/>
        <v>2057.4831578947369</v>
      </c>
      <c r="AO425" s="270">
        <f t="shared" si="131"/>
        <v>2099.7056179775282</v>
      </c>
      <c r="AP425" s="270">
        <f t="shared" si="132"/>
        <v>2030.9254918152046</v>
      </c>
      <c r="AQ425" s="270">
        <f t="shared" si="133"/>
        <v>2096.9111414434792</v>
      </c>
    </row>
    <row r="426" spans="27:43" x14ac:dyDescent="0.2">
      <c r="AF426" s="271" t="str">
        <f t="shared" si="124"/>
        <v>Street Lights</v>
      </c>
      <c r="AG426" s="266">
        <f>P353</f>
        <v>2789.5</v>
      </c>
      <c r="AH426" s="266">
        <f t="shared" si="125"/>
        <v>2798.5</v>
      </c>
      <c r="AI426" s="270" t="str">
        <f t="shared" si="126"/>
        <v>kW</v>
      </c>
      <c r="AJ426" s="281">
        <f>P355</f>
        <v>5760</v>
      </c>
      <c r="AK426" s="266">
        <f t="shared" si="127"/>
        <v>6353.7</v>
      </c>
      <c r="AL426" s="270">
        <f t="shared" si="128"/>
        <v>5685.6508341119888</v>
      </c>
      <c r="AM426" s="266">
        <f t="shared" si="129"/>
        <v>6345.2439262521539</v>
      </c>
      <c r="AN426" s="270">
        <f t="shared" si="130"/>
        <v>2.0648861803190535</v>
      </c>
      <c r="AO426" s="270">
        <f t="shared" si="131"/>
        <v>2.2703948543862782</v>
      </c>
      <c r="AP426" s="270">
        <f t="shared" si="132"/>
        <v>2.0382329572009281</v>
      </c>
      <c r="AQ426" s="270">
        <f t="shared" si="133"/>
        <v>2.2673732093093277</v>
      </c>
    </row>
    <row r="427" spans="27:43" x14ac:dyDescent="0.2">
      <c r="AF427" s="271" t="str">
        <f t="shared" si="124"/>
        <v>Unmetered Scattered Load</v>
      </c>
      <c r="AG427" s="266">
        <f>P358</f>
        <v>32.5</v>
      </c>
      <c r="AH427" s="266">
        <f t="shared" si="125"/>
        <v>31.5</v>
      </c>
      <c r="AI427" s="270" t="str">
        <f t="shared" si="126"/>
        <v>kWh</v>
      </c>
      <c r="AJ427" s="281">
        <f>P359</f>
        <v>201696</v>
      </c>
      <c r="AK427" s="266">
        <f t="shared" si="127"/>
        <v>262229</v>
      </c>
      <c r="AL427" s="270">
        <f t="shared" si="128"/>
        <v>199092.54004115483</v>
      </c>
      <c r="AM427" s="266">
        <f t="shared" si="129"/>
        <v>261880.00213059728</v>
      </c>
      <c r="AN427" s="270">
        <f t="shared" si="130"/>
        <v>6206.0307692307688</v>
      </c>
      <c r="AO427" s="270">
        <f t="shared" si="131"/>
        <v>8324.730158730159</v>
      </c>
      <c r="AP427" s="270">
        <f t="shared" si="132"/>
        <v>6125.9243089586098</v>
      </c>
      <c r="AQ427" s="270">
        <f t="shared" si="133"/>
        <v>8313.6508612888028</v>
      </c>
    </row>
    <row r="428" spans="27:43" x14ac:dyDescent="0.2">
      <c r="AF428" s="271" t="str">
        <f t="shared" si="124"/>
        <v>Sentinel Lights</v>
      </c>
      <c r="AG428" s="266">
        <f>P362</f>
        <v>7</v>
      </c>
      <c r="AH428" s="266">
        <f t="shared" si="125"/>
        <v>7</v>
      </c>
      <c r="AI428" s="270" t="str">
        <f t="shared" si="126"/>
        <v>kW</v>
      </c>
      <c r="AJ428" s="281">
        <f>P364</f>
        <v>14</v>
      </c>
      <c r="AK428" s="266">
        <f t="shared" si="127"/>
        <v>14</v>
      </c>
      <c r="AL428" s="270">
        <f t="shared" si="128"/>
        <v>13.819290221799974</v>
      </c>
      <c r="AM428" s="266">
        <f t="shared" si="129"/>
        <v>13.981367544506375</v>
      </c>
      <c r="AN428" s="270">
        <f t="shared" si="130"/>
        <v>2</v>
      </c>
      <c r="AO428" s="270">
        <f t="shared" si="131"/>
        <v>2</v>
      </c>
      <c r="AP428" s="270">
        <f t="shared" si="132"/>
        <v>1.9741843173999964</v>
      </c>
      <c r="AQ428" s="270">
        <f t="shared" si="133"/>
        <v>1.9973382206437678</v>
      </c>
    </row>
    <row r="429" spans="27:43" x14ac:dyDescent="0.2">
      <c r="AF429" s="271" t="str">
        <f t="shared" si="124"/>
        <v>Embedded Distributor</v>
      </c>
      <c r="AG429" s="266">
        <f>P367</f>
        <v>4</v>
      </c>
      <c r="AH429" s="266">
        <f t="shared" si="125"/>
        <v>4</v>
      </c>
      <c r="AI429" s="270" t="str">
        <f t="shared" si="126"/>
        <v>kW</v>
      </c>
      <c r="AJ429" s="281">
        <f>P369</f>
        <v>113910.59999999999</v>
      </c>
      <c r="AK429" s="266">
        <f t="shared" si="127"/>
        <v>111193.80000000002</v>
      </c>
      <c r="AL429" s="270">
        <f t="shared" si="128"/>
        <v>112440.26005281199</v>
      </c>
      <c r="AM429" s="266">
        <f t="shared" si="129"/>
        <v>111045.81331930951</v>
      </c>
      <c r="AN429" s="270">
        <f t="shared" si="130"/>
        <v>28477.649999999998</v>
      </c>
      <c r="AO429" s="270">
        <f t="shared" si="131"/>
        <v>27798.450000000004</v>
      </c>
      <c r="AP429" s="270">
        <f t="shared" si="132"/>
        <v>28110.065013202999</v>
      </c>
      <c r="AQ429" s="270">
        <f t="shared" si="133"/>
        <v>27761.453329827378</v>
      </c>
    </row>
    <row r="430" spans="27:43" x14ac:dyDescent="0.2">
      <c r="AF430" s="271" t="s">
        <v>11</v>
      </c>
      <c r="AG430" s="266">
        <f>SUM(AG423:AG429)</f>
        <v>14053.5</v>
      </c>
      <c r="AH430" s="266">
        <f>SUM(AH423:AH429)</f>
        <v>14142.5</v>
      </c>
      <c r="AI430" s="270"/>
      <c r="AJ430" s="281"/>
      <c r="AK430" s="281"/>
      <c r="AL430" s="281"/>
      <c r="AM430" s="281"/>
      <c r="AN430" s="281"/>
      <c r="AO430" s="281"/>
      <c r="AP430" s="281"/>
      <c r="AQ430" s="281"/>
    </row>
    <row r="431" spans="27:43" x14ac:dyDescent="0.2">
      <c r="AF431" s="179"/>
      <c r="AG431" s="353" t="s">
        <v>274</v>
      </c>
      <c r="AH431" s="353"/>
      <c r="AI431" s="179"/>
      <c r="AJ431" s="353" t="s">
        <v>274</v>
      </c>
      <c r="AK431" s="353"/>
      <c r="AL431" s="353" t="s">
        <v>274</v>
      </c>
      <c r="AM431" s="353"/>
      <c r="AN431" s="353" t="s">
        <v>274</v>
      </c>
      <c r="AO431" s="353"/>
      <c r="AP431" s="353" t="s">
        <v>274</v>
      </c>
      <c r="AQ431" s="353"/>
    </row>
    <row r="432" spans="27:43" x14ac:dyDescent="0.2">
      <c r="AF432" s="282" t="str">
        <f t="shared" ref="AF432:AF438" si="134">AF423</f>
        <v>Residential</v>
      </c>
      <c r="AG432" s="357">
        <f>AH423-AG423</f>
        <v>76</v>
      </c>
      <c r="AH432" s="357"/>
      <c r="AI432" s="270" t="str">
        <f>AI423</f>
        <v>kWh</v>
      </c>
      <c r="AJ432" s="357">
        <f>AK423-AJ423</f>
        <v>-1494142</v>
      </c>
      <c r="AK432" s="357"/>
      <c r="AL432" s="357">
        <f>AM423-AL423</f>
        <v>-429671.43325647712</v>
      </c>
      <c r="AM432" s="357"/>
      <c r="AN432" s="357">
        <f>AO423-AN423</f>
        <v>-219.48014801213503</v>
      </c>
      <c r="AO432" s="357"/>
      <c r="AP432" s="357">
        <f>AQ423-AP423</f>
        <v>-112.20702128416451</v>
      </c>
      <c r="AQ432" s="357"/>
    </row>
    <row r="433" spans="27:43" x14ac:dyDescent="0.2">
      <c r="AF433" s="282" t="str">
        <f t="shared" si="134"/>
        <v>GS&lt;50</v>
      </c>
      <c r="AG433" s="357">
        <f>AH424-AG424</f>
        <v>11</v>
      </c>
      <c r="AH433" s="357"/>
      <c r="AI433" s="270" t="str">
        <f t="shared" ref="AI433:AI438" si="135">AI424</f>
        <v>kWh</v>
      </c>
      <c r="AJ433" s="357">
        <f>AK424-AJ424</f>
        <v>-1226649</v>
      </c>
      <c r="AK433" s="357"/>
      <c r="AL433" s="357">
        <f>AM424-AL424</f>
        <v>-870351.0535187386</v>
      </c>
      <c r="AM433" s="357"/>
      <c r="AN433" s="357">
        <f>AO424-AN424</f>
        <v>-1252.1870285035147</v>
      </c>
      <c r="AO433" s="357"/>
      <c r="AP433" s="357">
        <f>AQ424-AP424</f>
        <v>-953.48079717913424</v>
      </c>
      <c r="AQ433" s="357"/>
    </row>
    <row r="434" spans="27:43" x14ac:dyDescent="0.2">
      <c r="AF434" s="282" t="str">
        <f t="shared" si="134"/>
        <v>GS&gt;50</v>
      </c>
      <c r="AG434" s="357">
        <f>AH425-AG425</f>
        <v>-6</v>
      </c>
      <c r="AH434" s="357"/>
      <c r="AI434" s="270" t="str">
        <f t="shared" si="135"/>
        <v>kW</v>
      </c>
      <c r="AJ434" s="357">
        <f>AK425-AJ425</f>
        <v>-8587.1000000000058</v>
      </c>
      <c r="AK434" s="357"/>
      <c r="AL434" s="357">
        <f>AM425-AL425</f>
        <v>-6312.830133974785</v>
      </c>
      <c r="AM434" s="357"/>
      <c r="AN434" s="357">
        <f>AO425-AN425</f>
        <v>42.222460082791258</v>
      </c>
      <c r="AO434" s="357"/>
      <c r="AP434" s="357">
        <f>AQ425-AP425</f>
        <v>65.985649628274587</v>
      </c>
      <c r="AQ434" s="357"/>
    </row>
    <row r="435" spans="27:43" x14ac:dyDescent="0.2">
      <c r="AF435" s="282" t="str">
        <f t="shared" si="134"/>
        <v>Street Lights</v>
      </c>
      <c r="AG435" s="357">
        <f>AH426-AG426</f>
        <v>9</v>
      </c>
      <c r="AH435" s="357"/>
      <c r="AI435" s="270" t="str">
        <f t="shared" si="135"/>
        <v>kW</v>
      </c>
      <c r="AJ435" s="357">
        <f>AK426-AJ426</f>
        <v>593.69999999999982</v>
      </c>
      <c r="AK435" s="357"/>
      <c r="AL435" s="357">
        <f>AM426-AL426</f>
        <v>659.59309214016503</v>
      </c>
      <c r="AM435" s="357"/>
      <c r="AN435" s="357">
        <f>AO426-AN426</f>
        <v>0.20550867406722473</v>
      </c>
      <c r="AO435" s="357"/>
      <c r="AP435" s="357">
        <f>AQ426-AP426</f>
        <v>0.22914025210839961</v>
      </c>
      <c r="AQ435" s="357"/>
    </row>
    <row r="436" spans="27:43" x14ac:dyDescent="0.2">
      <c r="AF436" s="282" t="str">
        <f t="shared" si="134"/>
        <v>Unmetered Scattered Load</v>
      </c>
      <c r="AG436" s="357">
        <f t="shared" ref="AG436:AG438" si="136">AH427-AG427</f>
        <v>-1</v>
      </c>
      <c r="AH436" s="357"/>
      <c r="AI436" s="270" t="str">
        <f t="shared" si="135"/>
        <v>kWh</v>
      </c>
      <c r="AJ436" s="357">
        <f t="shared" ref="AJ436:AJ437" si="137">AK427-AJ427</f>
        <v>60533</v>
      </c>
      <c r="AK436" s="357"/>
      <c r="AL436" s="357">
        <f t="shared" ref="AL436:AL438" si="138">AM427-AL427</f>
        <v>62787.462089442444</v>
      </c>
      <c r="AM436" s="357"/>
      <c r="AN436" s="357">
        <f t="shared" ref="AN436:AN438" si="139">AO427-AN427</f>
        <v>2118.6993894993902</v>
      </c>
      <c r="AO436" s="357"/>
      <c r="AP436" s="357">
        <f t="shared" ref="AP436:AP438" si="140">AQ427-AP427</f>
        <v>2187.726552330193</v>
      </c>
      <c r="AQ436" s="357"/>
    </row>
    <row r="437" spans="27:43" x14ac:dyDescent="0.2">
      <c r="AF437" s="282" t="str">
        <f t="shared" si="134"/>
        <v>Sentinel Lights</v>
      </c>
      <c r="AG437" s="357">
        <f t="shared" si="136"/>
        <v>0</v>
      </c>
      <c r="AH437" s="357"/>
      <c r="AI437" s="270" t="str">
        <f t="shared" si="135"/>
        <v>kW</v>
      </c>
      <c r="AJ437" s="357">
        <f t="shared" si="137"/>
        <v>0</v>
      </c>
      <c r="AK437" s="357"/>
      <c r="AL437" s="357">
        <f t="shared" si="138"/>
        <v>0.1620773227064003</v>
      </c>
      <c r="AM437" s="357"/>
      <c r="AN437" s="357">
        <f t="shared" si="139"/>
        <v>0</v>
      </c>
      <c r="AO437" s="357"/>
      <c r="AP437" s="357">
        <f t="shared" si="140"/>
        <v>2.3153903243771312E-2</v>
      </c>
      <c r="AQ437" s="357"/>
    </row>
    <row r="438" spans="27:43" x14ac:dyDescent="0.2">
      <c r="AF438" s="282" t="str">
        <f t="shared" si="134"/>
        <v>Embedded Distributor</v>
      </c>
      <c r="AG438" s="357">
        <f t="shared" si="136"/>
        <v>0</v>
      </c>
      <c r="AH438" s="357"/>
      <c r="AI438" s="270" t="str">
        <f t="shared" si="135"/>
        <v>kW</v>
      </c>
      <c r="AJ438" s="357">
        <f>AK429-AJ429</f>
        <v>-2716.7999999999738</v>
      </c>
      <c r="AK438" s="357"/>
      <c r="AL438" s="357">
        <f t="shared" si="138"/>
        <v>-1394.4467335024819</v>
      </c>
      <c r="AM438" s="357"/>
      <c r="AN438" s="357">
        <f t="shared" si="139"/>
        <v>-679.19999999999345</v>
      </c>
      <c r="AO438" s="357"/>
      <c r="AP438" s="357">
        <f t="shared" si="140"/>
        <v>-348.61168337562049</v>
      </c>
      <c r="AQ438" s="357"/>
    </row>
    <row r="439" spans="27:43" x14ac:dyDescent="0.2">
      <c r="AA439" s="251" t="s">
        <v>277</v>
      </c>
      <c r="AB439" s="251"/>
      <c r="AC439" s="251"/>
      <c r="AD439" s="227"/>
      <c r="AE439" s="227"/>
    </row>
    <row r="440" spans="27:43" ht="25.5" x14ac:dyDescent="0.2">
      <c r="AA440" s="269" t="s">
        <v>260</v>
      </c>
      <c r="AB440" s="270" t="str">
        <f t="shared" ref="AB440:AB447" si="141">AC409</f>
        <v>2012 
Actual</v>
      </c>
      <c r="AC440" s="270" t="s">
        <v>247</v>
      </c>
      <c r="AD440" s="270" t="s">
        <v>262</v>
      </c>
      <c r="AE440" s="270" t="s">
        <v>263</v>
      </c>
    </row>
    <row r="441" spans="27:43" x14ac:dyDescent="0.2">
      <c r="AA441" s="271" t="str">
        <f t="shared" ref="AA441:AA447" si="142">AA410</f>
        <v>Residential</v>
      </c>
      <c r="AB441" s="272">
        <f t="shared" si="141"/>
        <v>2055321.799325021</v>
      </c>
      <c r="AC441" s="272">
        <f t="shared" ref="AC441:AC447" si="143">S5</f>
        <v>2471804.4840444927</v>
      </c>
      <c r="AD441" s="272">
        <f>AC441-AB441</f>
        <v>416482.68471947173</v>
      </c>
      <c r="AE441" s="273">
        <f>AD441/AB441</f>
        <v>0.20263624161250415</v>
      </c>
    </row>
    <row r="442" spans="27:43" x14ac:dyDescent="0.2">
      <c r="AA442" s="271" t="str">
        <f t="shared" si="142"/>
        <v>GS&lt;50</v>
      </c>
      <c r="AB442" s="272">
        <f t="shared" si="141"/>
        <v>351937.48567666271</v>
      </c>
      <c r="AC442" s="272">
        <f t="shared" si="143"/>
        <v>423252.77505673614</v>
      </c>
      <c r="AD442" s="272">
        <f t="shared" ref="AD442:AD447" si="144">AC442-AB442</f>
        <v>71315.289380073431</v>
      </c>
      <c r="AE442" s="273">
        <f t="shared" ref="AE442:AE447" si="145">AD442/AB442</f>
        <v>0.20263624161250413</v>
      </c>
    </row>
    <row r="443" spans="27:43" x14ac:dyDescent="0.2">
      <c r="AA443" s="271" t="str">
        <f t="shared" si="142"/>
        <v>GS&gt;50</v>
      </c>
      <c r="AB443" s="272">
        <f t="shared" si="141"/>
        <v>397449.20428900077</v>
      </c>
      <c r="AC443" s="272">
        <f t="shared" si="143"/>
        <v>477986.81727800431</v>
      </c>
      <c r="AD443" s="272">
        <f t="shared" si="144"/>
        <v>80537.612989003537</v>
      </c>
      <c r="AE443" s="273">
        <f t="shared" si="145"/>
        <v>0.20263624161250429</v>
      </c>
    </row>
    <row r="444" spans="27:43" x14ac:dyDescent="0.2">
      <c r="AA444" s="271" t="str">
        <f t="shared" si="142"/>
        <v>Street Lights</v>
      </c>
      <c r="AB444" s="272">
        <f t="shared" si="141"/>
        <v>248.30806107735791</v>
      </c>
      <c r="AC444" s="272">
        <f t="shared" si="143"/>
        <v>298.62427333616188</v>
      </c>
      <c r="AD444" s="272">
        <f t="shared" si="144"/>
        <v>50.316212258803972</v>
      </c>
      <c r="AE444" s="273">
        <f t="shared" si="145"/>
        <v>0.20263624161250429</v>
      </c>
    </row>
    <row r="445" spans="27:43" x14ac:dyDescent="0.2">
      <c r="AA445" s="271" t="str">
        <f t="shared" si="142"/>
        <v>Unmetered Scattered Load</v>
      </c>
      <c r="AB445" s="272">
        <f t="shared" si="141"/>
        <v>83560.941326882938</v>
      </c>
      <c r="AC445" s="272">
        <f t="shared" si="143"/>
        <v>100493.41642296549</v>
      </c>
      <c r="AD445" s="272">
        <f t="shared" si="144"/>
        <v>16932.475096082548</v>
      </c>
      <c r="AE445" s="273">
        <f t="shared" si="145"/>
        <v>0.20263624161250432</v>
      </c>
    </row>
    <row r="446" spans="27:43" x14ac:dyDescent="0.2">
      <c r="AA446" s="271" t="str">
        <f t="shared" si="142"/>
        <v>Sentinel Lights</v>
      </c>
      <c r="AB446" s="272">
        <f t="shared" si="141"/>
        <v>2570.1552505609129</v>
      </c>
      <c r="AC446" s="272">
        <f t="shared" si="143"/>
        <v>3090.9618508952203</v>
      </c>
      <c r="AD446" s="272">
        <f t="shared" si="144"/>
        <v>520.8066003343074</v>
      </c>
      <c r="AE446" s="273">
        <f t="shared" si="145"/>
        <v>0.20263624161250418</v>
      </c>
    </row>
    <row r="447" spans="27:43" x14ac:dyDescent="0.2">
      <c r="AA447" s="271" t="str">
        <f t="shared" si="142"/>
        <v>Embedded Distributor</v>
      </c>
      <c r="AB447" s="272">
        <f t="shared" si="141"/>
        <v>149301.10607079451</v>
      </c>
      <c r="AC447" s="272">
        <f t="shared" si="143"/>
        <v>179554.92107357015</v>
      </c>
      <c r="AD447" s="272">
        <f t="shared" si="144"/>
        <v>30253.815002775635</v>
      </c>
      <c r="AE447" s="273">
        <f t="shared" si="145"/>
        <v>0.20263624161250421</v>
      </c>
    </row>
    <row r="448" spans="27:43" x14ac:dyDescent="0.2">
      <c r="AA448" s="274" t="s">
        <v>17</v>
      </c>
      <c r="AB448" s="272">
        <f>SUM(AB441:AB447)</f>
        <v>3040389.0000000005</v>
      </c>
      <c r="AC448" s="272">
        <f>SUM(AC441:AC447)</f>
        <v>3656482</v>
      </c>
      <c r="AD448" s="272">
        <f t="shared" ref="AD448" si="146">AC448-AB448</f>
        <v>616092.99999999953</v>
      </c>
      <c r="AE448" s="273">
        <f t="shared" ref="AE448" si="147">AD448/AB448</f>
        <v>0.20263624161250401</v>
      </c>
    </row>
    <row r="450" spans="32:43" x14ac:dyDescent="0.2">
      <c r="AF450" s="251" t="s">
        <v>278</v>
      </c>
      <c r="AG450" s="251"/>
      <c r="AH450" s="251"/>
      <c r="AI450" s="227"/>
      <c r="AJ450" s="275"/>
    </row>
    <row r="451" spans="32:43" x14ac:dyDescent="0.2">
      <c r="AF451" s="276" t="s">
        <v>265</v>
      </c>
      <c r="AG451" s="354" t="s">
        <v>266</v>
      </c>
      <c r="AH451" s="354"/>
      <c r="AI451" s="189" t="s">
        <v>267</v>
      </c>
      <c r="AJ451" s="355" t="s">
        <v>268</v>
      </c>
      <c r="AK451" s="355"/>
      <c r="AL451" s="356" t="s">
        <v>269</v>
      </c>
      <c r="AM451" s="356"/>
      <c r="AN451" s="356" t="s">
        <v>270</v>
      </c>
      <c r="AO451" s="356"/>
      <c r="AP451" s="356" t="s">
        <v>271</v>
      </c>
      <c r="AQ451" s="356"/>
    </row>
    <row r="452" spans="32:43" x14ac:dyDescent="0.2">
      <c r="AF452" s="358" t="str">
        <f>AF421</f>
        <v>Weather 
Normal Conversion 
Factor</v>
      </c>
      <c r="AG452" s="358"/>
      <c r="AH452" s="358"/>
      <c r="AI452" s="358"/>
      <c r="AJ452" s="358"/>
      <c r="AK452" s="358"/>
      <c r="AL452" s="277">
        <f>AM421</f>
        <v>0.99866911032188388</v>
      </c>
      <c r="AM452" s="277">
        <f>F139</f>
        <v>1.0033496505503621</v>
      </c>
      <c r="AN452" s="356"/>
      <c r="AO452" s="356"/>
      <c r="AP452" s="356"/>
      <c r="AQ452" s="356"/>
    </row>
    <row r="453" spans="32:43" ht="25.5" x14ac:dyDescent="0.2">
      <c r="AF453" s="279"/>
      <c r="AG453" s="180" t="str">
        <f>AB440</f>
        <v>2012 
Actual</v>
      </c>
      <c r="AH453" s="180" t="str">
        <f>AC440</f>
        <v>2013 
Actual</v>
      </c>
      <c r="AI453" s="280"/>
      <c r="AJ453" s="180" t="str">
        <f>AG453</f>
        <v>2012 
Actual</v>
      </c>
      <c r="AK453" s="180" t="str">
        <f>AH453</f>
        <v>2013 
Actual</v>
      </c>
      <c r="AL453" s="180" t="str">
        <f>AJ453</f>
        <v>2012 
Actual</v>
      </c>
      <c r="AM453" s="180" t="str">
        <f>AK453</f>
        <v>2013 
Actual</v>
      </c>
      <c r="AN453" s="180" t="str">
        <f>AJ453</f>
        <v>2012 
Actual</v>
      </c>
      <c r="AO453" s="180" t="str">
        <f>AK453</f>
        <v>2013 
Actual</v>
      </c>
      <c r="AP453" s="180" t="str">
        <f>AL453</f>
        <v>2012 
Actual</v>
      </c>
      <c r="AQ453" s="180" t="str">
        <f>AM453</f>
        <v>2013 
Actual</v>
      </c>
    </row>
    <row r="454" spans="32:43" x14ac:dyDescent="0.2">
      <c r="AF454" s="271" t="str">
        <f>AF423</f>
        <v>Residential</v>
      </c>
      <c r="AG454" s="266">
        <f>AH423</f>
        <v>10007.5</v>
      </c>
      <c r="AH454" s="266">
        <f>S340</f>
        <v>10082.5</v>
      </c>
      <c r="AI454" s="270" t="str">
        <f>AI432</f>
        <v>kWh</v>
      </c>
      <c r="AJ454" s="266">
        <f>AK423</f>
        <v>90281488</v>
      </c>
      <c r="AK454" s="266">
        <f>S341</f>
        <v>88791227</v>
      </c>
      <c r="AL454" s="270">
        <f>AJ454*$AL$452</f>
        <v>90161333.299495831</v>
      </c>
      <c r="AM454" s="266">
        <f>AK454*$AM$452</f>
        <v>89088646.582387879</v>
      </c>
      <c r="AN454" s="270">
        <f>AJ454/AG454</f>
        <v>9021.3827629278039</v>
      </c>
      <c r="AO454" s="270">
        <f>AK454/AH454</f>
        <v>8806.4693280436404</v>
      </c>
      <c r="AP454" s="270">
        <f>AL454/AG454</f>
        <v>9009.3762977262886</v>
      </c>
      <c r="AQ454" s="270">
        <f>AM454/AH454</f>
        <v>8835.9679228750683</v>
      </c>
    </row>
    <row r="455" spans="32:43" x14ac:dyDescent="0.2">
      <c r="AF455" s="271" t="str">
        <f t="shared" ref="AF455:AF460" si="148">AF424</f>
        <v>GS&lt;50</v>
      </c>
      <c r="AG455" s="266">
        <f>AH424</f>
        <v>1205</v>
      </c>
      <c r="AH455" s="266">
        <f>S344</f>
        <v>1207.5</v>
      </c>
      <c r="AI455" s="270" t="str">
        <f t="shared" ref="AI455:AI460" si="149">AI433</f>
        <v>kWh</v>
      </c>
      <c r="AJ455" s="266">
        <f t="shared" ref="AJ455:AJ460" si="150">AK424</f>
        <v>29408826</v>
      </c>
      <c r="AK455" s="266">
        <f>S345</f>
        <v>28921439</v>
      </c>
      <c r="AL455" s="270">
        <f t="shared" ref="AL455:AL460" si="151">AJ455*$AL$452</f>
        <v>29369686.097031087</v>
      </c>
      <c r="AM455" s="266">
        <f t="shared" ref="AM455:AM460" si="152">AK455*$AM$452</f>
        <v>29018315.714063615</v>
      </c>
      <c r="AN455" s="270">
        <f t="shared" ref="AN455:AN460" si="153">AJ455/AG455</f>
        <v>24405.664730290457</v>
      </c>
      <c r="AO455" s="270">
        <f t="shared" ref="AO455:AO460" si="154">AK455/AH455</f>
        <v>23951.502277432712</v>
      </c>
      <c r="AP455" s="270">
        <f t="shared" ref="AP455:AP460" si="155">AL455/AG455</f>
        <v>24373.183483013348</v>
      </c>
      <c r="AQ455" s="270">
        <f t="shared" ref="AQ455:AQ460" si="156">AM455/AH455</f>
        <v>24031.731440218315</v>
      </c>
    </row>
    <row r="456" spans="32:43" x14ac:dyDescent="0.2">
      <c r="AF456" s="271" t="str">
        <f t="shared" si="148"/>
        <v>GS&gt;50</v>
      </c>
      <c r="AG456" s="266">
        <f>AH425</f>
        <v>89</v>
      </c>
      <c r="AH456" s="266">
        <f>S348</f>
        <v>89</v>
      </c>
      <c r="AI456" s="270" t="str">
        <f t="shared" si="149"/>
        <v>kW</v>
      </c>
      <c r="AJ456" s="266">
        <f t="shared" si="150"/>
        <v>186873.8</v>
      </c>
      <c r="AK456" s="266">
        <f>S350</f>
        <v>181892.6</v>
      </c>
      <c r="AL456" s="270">
        <f t="shared" si="151"/>
        <v>186625.09158846966</v>
      </c>
      <c r="AM456" s="266">
        <f t="shared" si="152"/>
        <v>182501.8766476968</v>
      </c>
      <c r="AN456" s="270">
        <f t="shared" si="153"/>
        <v>2099.7056179775282</v>
      </c>
      <c r="AO456" s="270">
        <f t="shared" si="154"/>
        <v>2043.7370786516854</v>
      </c>
      <c r="AP456" s="270">
        <f t="shared" si="155"/>
        <v>2096.9111414434792</v>
      </c>
      <c r="AQ456" s="270">
        <f t="shared" si="156"/>
        <v>2050.5828836819865</v>
      </c>
    </row>
    <row r="457" spans="32:43" x14ac:dyDescent="0.2">
      <c r="AF457" s="271" t="str">
        <f t="shared" si="148"/>
        <v>Street Lights</v>
      </c>
      <c r="AG457" s="266">
        <f>AH426</f>
        <v>2798.5</v>
      </c>
      <c r="AH457" s="266">
        <f>S353</f>
        <v>2807.5</v>
      </c>
      <c r="AI457" s="270" t="str">
        <f t="shared" si="149"/>
        <v>kW</v>
      </c>
      <c r="AJ457" s="266">
        <f t="shared" si="150"/>
        <v>6353.7</v>
      </c>
      <c r="AK457" s="266">
        <f>S355</f>
        <v>6799.3</v>
      </c>
      <c r="AL457" s="270">
        <f t="shared" si="151"/>
        <v>6345.2439262521539</v>
      </c>
      <c r="AM457" s="266">
        <f t="shared" si="152"/>
        <v>6822.0752789870767</v>
      </c>
      <c r="AN457" s="270">
        <f t="shared" si="153"/>
        <v>2.2703948543862782</v>
      </c>
      <c r="AO457" s="270">
        <f t="shared" si="154"/>
        <v>2.4218343722172753</v>
      </c>
      <c r="AP457" s="270">
        <f t="shared" si="155"/>
        <v>2.2673732093093277</v>
      </c>
      <c r="AQ457" s="270">
        <f t="shared" si="156"/>
        <v>2.4299466710550583</v>
      </c>
    </row>
    <row r="458" spans="32:43" x14ac:dyDescent="0.2">
      <c r="AF458" s="271" t="str">
        <f t="shared" si="148"/>
        <v>Unmetered Scattered Load</v>
      </c>
      <c r="AG458" s="266">
        <f t="shared" ref="AG458:AG460" si="157">AH427</f>
        <v>31.5</v>
      </c>
      <c r="AH458" s="266">
        <f>S358</f>
        <v>31.5</v>
      </c>
      <c r="AI458" s="270" t="str">
        <f t="shared" si="149"/>
        <v>kWh</v>
      </c>
      <c r="AJ458" s="266">
        <f t="shared" si="150"/>
        <v>262229</v>
      </c>
      <c r="AK458" s="266">
        <f>S359</f>
        <v>260597</v>
      </c>
      <c r="AL458" s="270">
        <f t="shared" si="151"/>
        <v>261880.00213059728</v>
      </c>
      <c r="AM458" s="266">
        <f t="shared" si="152"/>
        <v>261469.90888447271</v>
      </c>
      <c r="AN458" s="270">
        <f t="shared" si="153"/>
        <v>8324.730158730159</v>
      </c>
      <c r="AO458" s="270">
        <f t="shared" si="154"/>
        <v>8272.9206349206343</v>
      </c>
      <c r="AP458" s="270">
        <f t="shared" si="155"/>
        <v>8313.6508612888028</v>
      </c>
      <c r="AQ458" s="270">
        <f t="shared" si="156"/>
        <v>8300.6320280784985</v>
      </c>
    </row>
    <row r="459" spans="32:43" x14ac:dyDescent="0.2">
      <c r="AF459" s="271" t="str">
        <f t="shared" si="148"/>
        <v>Sentinel Lights</v>
      </c>
      <c r="AG459" s="266">
        <f t="shared" si="157"/>
        <v>7</v>
      </c>
      <c r="AH459" s="266">
        <f>S362</f>
        <v>7</v>
      </c>
      <c r="AI459" s="270" t="str">
        <f t="shared" si="149"/>
        <v>kW</v>
      </c>
      <c r="AJ459" s="266">
        <f t="shared" si="150"/>
        <v>14</v>
      </c>
      <c r="AK459" s="266">
        <f>S364</f>
        <v>14</v>
      </c>
      <c r="AL459" s="270">
        <f t="shared" si="151"/>
        <v>13.981367544506375</v>
      </c>
      <c r="AM459" s="266">
        <f t="shared" si="152"/>
        <v>14.046895107705069</v>
      </c>
      <c r="AN459" s="270">
        <f t="shared" si="153"/>
        <v>2</v>
      </c>
      <c r="AO459" s="270">
        <f t="shared" si="154"/>
        <v>2</v>
      </c>
      <c r="AP459" s="270">
        <f t="shared" si="155"/>
        <v>1.9973382206437678</v>
      </c>
      <c r="AQ459" s="270">
        <f t="shared" si="156"/>
        <v>2.0066993011007241</v>
      </c>
    </row>
    <row r="460" spans="32:43" x14ac:dyDescent="0.2">
      <c r="AF460" s="271" t="str">
        <f t="shared" si="148"/>
        <v>Embedded Distributor</v>
      </c>
      <c r="AG460" s="266">
        <f t="shared" si="157"/>
        <v>4</v>
      </c>
      <c r="AH460" s="266">
        <f>S367</f>
        <v>4</v>
      </c>
      <c r="AI460" s="270" t="str">
        <f t="shared" si="149"/>
        <v>kW</v>
      </c>
      <c r="AJ460" s="266">
        <f t="shared" si="150"/>
        <v>111193.80000000002</v>
      </c>
      <c r="AK460" s="266">
        <f>S369</f>
        <v>110634.70000000001</v>
      </c>
      <c r="AL460" s="270">
        <f t="shared" si="151"/>
        <v>111045.81331930951</v>
      </c>
      <c r="AM460" s="266">
        <f t="shared" si="152"/>
        <v>111005.28758374415</v>
      </c>
      <c r="AN460" s="270">
        <f t="shared" si="153"/>
        <v>27798.450000000004</v>
      </c>
      <c r="AO460" s="270">
        <f t="shared" si="154"/>
        <v>27658.675000000003</v>
      </c>
      <c r="AP460" s="270">
        <f t="shared" si="155"/>
        <v>27761.453329827378</v>
      </c>
      <c r="AQ460" s="270">
        <f t="shared" si="156"/>
        <v>27751.321895936038</v>
      </c>
    </row>
    <row r="461" spans="32:43" x14ac:dyDescent="0.2">
      <c r="AF461" s="271" t="s">
        <v>11</v>
      </c>
      <c r="AG461" s="266">
        <f>SUM(AG454:AG460)</f>
        <v>14142.5</v>
      </c>
      <c r="AH461" s="266">
        <f>SUM(AH454:AH460)</f>
        <v>14229</v>
      </c>
      <c r="AI461" s="270"/>
      <c r="AJ461" s="281"/>
      <c r="AK461" s="281"/>
      <c r="AL461" s="281"/>
      <c r="AM461" s="281"/>
      <c r="AN461" s="281"/>
      <c r="AO461" s="281"/>
      <c r="AP461" s="281"/>
      <c r="AQ461" s="281"/>
    </row>
    <row r="462" spans="32:43" x14ac:dyDescent="0.2">
      <c r="AF462" s="179"/>
      <c r="AG462" s="353" t="s">
        <v>274</v>
      </c>
      <c r="AH462" s="353"/>
      <c r="AI462" s="179"/>
      <c r="AJ462" s="353" t="s">
        <v>274</v>
      </c>
      <c r="AK462" s="353"/>
      <c r="AL462" s="353" t="s">
        <v>274</v>
      </c>
      <c r="AM462" s="353"/>
      <c r="AN462" s="353" t="s">
        <v>274</v>
      </c>
      <c r="AO462" s="353"/>
      <c r="AP462" s="353" t="s">
        <v>274</v>
      </c>
      <c r="AQ462" s="353"/>
    </row>
    <row r="463" spans="32:43" x14ac:dyDescent="0.2">
      <c r="AF463" s="282" t="str">
        <f t="shared" ref="AF463:AF469" si="158">AF454</f>
        <v>Residential</v>
      </c>
      <c r="AG463" s="357">
        <f>AH454-AG454</f>
        <v>75</v>
      </c>
      <c r="AH463" s="357"/>
      <c r="AI463" s="270" t="str">
        <f>AI454</f>
        <v>kWh</v>
      </c>
      <c r="AJ463" s="357">
        <f>AK454-AJ454</f>
        <v>-1490261</v>
      </c>
      <c r="AK463" s="357"/>
      <c r="AL463" s="357">
        <f>AM454-AL454</f>
        <v>-1072686.7171079516</v>
      </c>
      <c r="AM463" s="357"/>
      <c r="AN463" s="357">
        <f>AO454-AN454</f>
        <v>-214.91343488416351</v>
      </c>
      <c r="AO463" s="357"/>
      <c r="AP463" s="357">
        <f>AQ454-AP454</f>
        <v>-173.40837485122029</v>
      </c>
      <c r="AQ463" s="357"/>
    </row>
    <row r="464" spans="32:43" x14ac:dyDescent="0.2">
      <c r="AF464" s="282" t="str">
        <f t="shared" si="158"/>
        <v>GS&lt;50</v>
      </c>
      <c r="AG464" s="357">
        <f>AH455-AG455</f>
        <v>2.5</v>
      </c>
      <c r="AH464" s="357"/>
      <c r="AI464" s="270" t="str">
        <f t="shared" ref="AI464:AI469" si="159">AI455</f>
        <v>kWh</v>
      </c>
      <c r="AJ464" s="357">
        <f>AK455-AJ455</f>
        <v>-487387</v>
      </c>
      <c r="AK464" s="357"/>
      <c r="AL464" s="357">
        <f>AM455-AL455</f>
        <v>-351370.38296747208</v>
      </c>
      <c r="AM464" s="357"/>
      <c r="AN464" s="357">
        <f>AO455-AN455</f>
        <v>-454.16245285774494</v>
      </c>
      <c r="AO464" s="357"/>
      <c r="AP464" s="357">
        <f>AQ455-AP455</f>
        <v>-341.45204279503378</v>
      </c>
      <c r="AQ464" s="357"/>
    </row>
    <row r="465" spans="27:43" x14ac:dyDescent="0.2">
      <c r="AF465" s="282" t="str">
        <f t="shared" si="158"/>
        <v>GS&gt;50</v>
      </c>
      <c r="AG465" s="357">
        <f>AH456-AG456</f>
        <v>0</v>
      </c>
      <c r="AH465" s="357"/>
      <c r="AI465" s="270" t="str">
        <f t="shared" si="159"/>
        <v>kW</v>
      </c>
      <c r="AJ465" s="357">
        <f>AK456-AJ456</f>
        <v>-4981.1999999999825</v>
      </c>
      <c r="AK465" s="357"/>
      <c r="AL465" s="357">
        <f>AM456-AL456</f>
        <v>-4123.2149407728575</v>
      </c>
      <c r="AM465" s="357"/>
      <c r="AN465" s="357">
        <f>AO456-AN456</f>
        <v>-55.968539325842812</v>
      </c>
      <c r="AO465" s="357"/>
      <c r="AP465" s="357">
        <f>AQ456-AP456</f>
        <v>-46.32825776149275</v>
      </c>
      <c r="AQ465" s="357"/>
    </row>
    <row r="466" spans="27:43" x14ac:dyDescent="0.2">
      <c r="AF466" s="282" t="str">
        <f t="shared" si="158"/>
        <v>Street Lights</v>
      </c>
      <c r="AG466" s="357">
        <f>AH457-AG457</f>
        <v>9</v>
      </c>
      <c r="AH466" s="357"/>
      <c r="AI466" s="270" t="str">
        <f t="shared" si="159"/>
        <v>kW</v>
      </c>
      <c r="AJ466" s="357">
        <f>AK457-AJ457</f>
        <v>445.60000000000036</v>
      </c>
      <c r="AK466" s="357"/>
      <c r="AL466" s="357">
        <f>AM457-AL457</f>
        <v>476.8313527349228</v>
      </c>
      <c r="AM466" s="357"/>
      <c r="AN466" s="357">
        <f>AO457-AN457</f>
        <v>0.15143951783099707</v>
      </c>
      <c r="AO466" s="357"/>
      <c r="AP466" s="357">
        <f>AQ457-AP457</f>
        <v>0.16257346174573062</v>
      </c>
      <c r="AQ466" s="357"/>
    </row>
    <row r="467" spans="27:43" x14ac:dyDescent="0.2">
      <c r="AF467" s="282" t="str">
        <f t="shared" si="158"/>
        <v>Unmetered Scattered Load</v>
      </c>
      <c r="AG467" s="357">
        <f t="shared" ref="AG467:AG469" si="160">AH458-AG458</f>
        <v>0</v>
      </c>
      <c r="AH467" s="357"/>
      <c r="AI467" s="270" t="str">
        <f t="shared" si="159"/>
        <v>kWh</v>
      </c>
      <c r="AJ467" s="357">
        <f t="shared" ref="AJ467:AJ469" si="161">AK458-AJ458</f>
        <v>-1632</v>
      </c>
      <c r="AK467" s="357"/>
      <c r="AL467" s="357">
        <f t="shared" ref="AL467:AL469" si="162">AM458-AL458</f>
        <v>-410.0932461245684</v>
      </c>
      <c r="AM467" s="357"/>
      <c r="AN467" s="357">
        <f t="shared" ref="AN467:AN469" si="163">AO458-AN458</f>
        <v>-51.809523809524762</v>
      </c>
      <c r="AO467" s="357"/>
      <c r="AP467" s="357">
        <f t="shared" ref="AP467:AP469" si="164">AQ458-AP458</f>
        <v>-13.018833210304365</v>
      </c>
      <c r="AQ467" s="357"/>
    </row>
    <row r="468" spans="27:43" x14ac:dyDescent="0.2">
      <c r="AF468" s="282" t="str">
        <f t="shared" si="158"/>
        <v>Sentinel Lights</v>
      </c>
      <c r="AG468" s="357">
        <f t="shared" si="160"/>
        <v>0</v>
      </c>
      <c r="AH468" s="357"/>
      <c r="AI468" s="270" t="str">
        <f t="shared" si="159"/>
        <v>kW</v>
      </c>
      <c r="AJ468" s="357">
        <f t="shared" si="161"/>
        <v>0</v>
      </c>
      <c r="AK468" s="357"/>
      <c r="AL468" s="357">
        <f t="shared" si="162"/>
        <v>6.5527563198694239E-2</v>
      </c>
      <c r="AM468" s="357"/>
      <c r="AN468" s="357">
        <f t="shared" si="163"/>
        <v>0</v>
      </c>
      <c r="AO468" s="357"/>
      <c r="AP468" s="357">
        <f t="shared" si="164"/>
        <v>9.3610804569563832E-3</v>
      </c>
      <c r="AQ468" s="357"/>
    </row>
    <row r="469" spans="27:43" x14ac:dyDescent="0.2">
      <c r="AF469" s="282" t="str">
        <f t="shared" si="158"/>
        <v>Embedded Distributor</v>
      </c>
      <c r="AG469" s="357">
        <f t="shared" si="160"/>
        <v>0</v>
      </c>
      <c r="AH469" s="357"/>
      <c r="AI469" s="270" t="str">
        <f t="shared" si="159"/>
        <v>kW</v>
      </c>
      <c r="AJ469" s="357">
        <f t="shared" si="161"/>
        <v>-559.10000000000582</v>
      </c>
      <c r="AK469" s="357"/>
      <c r="AL469" s="357">
        <f t="shared" si="162"/>
        <v>-40.525735565359355</v>
      </c>
      <c r="AM469" s="357"/>
      <c r="AN469" s="357">
        <f t="shared" si="163"/>
        <v>-139.77500000000146</v>
      </c>
      <c r="AO469" s="357"/>
      <c r="AP469" s="357">
        <f t="shared" si="164"/>
        <v>-10.131433891339839</v>
      </c>
      <c r="AQ469" s="357"/>
    </row>
    <row r="470" spans="27:43" x14ac:dyDescent="0.2">
      <c r="AA470" s="251" t="s">
        <v>279</v>
      </c>
      <c r="AB470" s="251"/>
      <c r="AC470" s="251"/>
      <c r="AD470" s="227"/>
      <c r="AE470" s="227"/>
    </row>
    <row r="471" spans="27:43" ht="25.5" x14ac:dyDescent="0.2">
      <c r="AA471" s="269" t="s">
        <v>260</v>
      </c>
      <c r="AB471" s="270" t="str">
        <f t="shared" ref="AB471:AB478" si="165">AC440</f>
        <v>2013 
Actual</v>
      </c>
      <c r="AC471" s="270" t="s">
        <v>248</v>
      </c>
      <c r="AD471" s="270" t="s">
        <v>262</v>
      </c>
      <c r="AE471" s="270" t="s">
        <v>263</v>
      </c>
    </row>
    <row r="472" spans="27:43" x14ac:dyDescent="0.2">
      <c r="AA472" s="271" t="str">
        <f t="shared" ref="AA472:AA478" si="166">AA441</f>
        <v>Residential</v>
      </c>
      <c r="AB472" s="272">
        <f t="shared" si="165"/>
        <v>2471804.4840444927</v>
      </c>
      <c r="AC472" s="272">
        <f t="shared" ref="AC472:AC478" si="167">T5</f>
        <v>2213912</v>
      </c>
      <c r="AD472" s="272">
        <f>AC472-AB472</f>
        <v>-257892.48404449271</v>
      </c>
      <c r="AE472" s="273">
        <f>AD472/AB472</f>
        <v>-0.1043336905120084</v>
      </c>
    </row>
    <row r="473" spans="27:43" x14ac:dyDescent="0.2">
      <c r="AA473" s="271" t="str">
        <f t="shared" si="166"/>
        <v>GS&lt;50</v>
      </c>
      <c r="AB473" s="272">
        <f t="shared" si="165"/>
        <v>423252.77505673614</v>
      </c>
      <c r="AC473" s="272">
        <f t="shared" si="167"/>
        <v>431736.7</v>
      </c>
      <c r="AD473" s="272">
        <f t="shared" ref="AD473:AD478" si="168">AC473-AB473</f>
        <v>8483.9249432638753</v>
      </c>
      <c r="AE473" s="273">
        <f t="shared" ref="AE473:AE478" si="169">AD473/AB473</f>
        <v>2.0044581969076571E-2</v>
      </c>
    </row>
    <row r="474" spans="27:43" x14ac:dyDescent="0.2">
      <c r="AA474" s="271" t="str">
        <f t="shared" si="166"/>
        <v>GS&gt;50</v>
      </c>
      <c r="AB474" s="272">
        <f t="shared" si="165"/>
        <v>477986.81727800431</v>
      </c>
      <c r="AC474" s="272">
        <f t="shared" si="167"/>
        <v>590077.4</v>
      </c>
      <c r="AD474" s="272">
        <f t="shared" si="168"/>
        <v>112090.58272199571</v>
      </c>
      <c r="AE474" s="273">
        <f t="shared" si="169"/>
        <v>0.23450559444362698</v>
      </c>
    </row>
    <row r="475" spans="27:43" x14ac:dyDescent="0.2">
      <c r="AA475" s="271" t="str">
        <f t="shared" si="166"/>
        <v>Street Lights</v>
      </c>
      <c r="AB475" s="272">
        <f t="shared" si="165"/>
        <v>298.62427333616188</v>
      </c>
      <c r="AC475" s="272">
        <f t="shared" si="167"/>
        <v>298.11</v>
      </c>
      <c r="AD475" s="272">
        <f t="shared" si="168"/>
        <v>-0.51427333616186388</v>
      </c>
      <c r="AE475" s="273">
        <f t="shared" si="169"/>
        <v>-1.7221417750691199E-3</v>
      </c>
    </row>
    <row r="476" spans="27:43" x14ac:dyDescent="0.2">
      <c r="AA476" s="271" t="str">
        <f t="shared" si="166"/>
        <v>Unmetered Scattered Load</v>
      </c>
      <c r="AB476" s="272">
        <f t="shared" si="165"/>
        <v>100493.41642296549</v>
      </c>
      <c r="AC476" s="272">
        <f t="shared" si="167"/>
        <v>82503.199999999997</v>
      </c>
      <c r="AD476" s="272">
        <f t="shared" si="168"/>
        <v>-17990.216422965488</v>
      </c>
      <c r="AE476" s="273">
        <f t="shared" si="169"/>
        <v>-0.17901885579495766</v>
      </c>
    </row>
    <row r="477" spans="27:43" x14ac:dyDescent="0.2">
      <c r="AA477" s="271" t="str">
        <f t="shared" si="166"/>
        <v>Sentinel Lights</v>
      </c>
      <c r="AB477" s="272">
        <f t="shared" si="165"/>
        <v>3090.9618508952203</v>
      </c>
      <c r="AC477" s="272">
        <f t="shared" si="167"/>
        <v>1</v>
      </c>
      <c r="AD477" s="272">
        <f t="shared" si="168"/>
        <v>-3089.9618508952203</v>
      </c>
      <c r="AE477" s="273">
        <f t="shared" si="169"/>
        <v>-0.99967647611059629</v>
      </c>
    </row>
    <row r="478" spans="27:43" x14ac:dyDescent="0.2">
      <c r="AA478" s="271" t="str">
        <f t="shared" si="166"/>
        <v>Embedded Distributor</v>
      </c>
      <c r="AB478" s="272">
        <f t="shared" si="165"/>
        <v>179554.92107357015</v>
      </c>
      <c r="AC478" s="272">
        <f t="shared" si="167"/>
        <v>1</v>
      </c>
      <c r="AD478" s="272">
        <f t="shared" si="168"/>
        <v>-179553.92107357015</v>
      </c>
      <c r="AE478" s="273">
        <f t="shared" si="169"/>
        <v>-0.99999443067338945</v>
      </c>
    </row>
    <row r="479" spans="27:43" x14ac:dyDescent="0.2">
      <c r="AA479" s="274" t="s">
        <v>17</v>
      </c>
      <c r="AB479" s="272">
        <f>SUM(AB472:AB478)</f>
        <v>3656482</v>
      </c>
      <c r="AC479" s="272">
        <f>SUM(AC472:AC478)</f>
        <v>3318529.41</v>
      </c>
      <c r="AD479" s="272">
        <f t="shared" ref="AD479" si="170">AC479-AB479</f>
        <v>-337952.58999999985</v>
      </c>
      <c r="AE479" s="273">
        <f t="shared" ref="AE479" si="171">AD479/AB479</f>
        <v>-9.2425612925210579E-2</v>
      </c>
    </row>
    <row r="481" spans="32:43" x14ac:dyDescent="0.2">
      <c r="AF481" s="251" t="s">
        <v>280</v>
      </c>
      <c r="AG481" s="251"/>
      <c r="AH481" s="251"/>
      <c r="AI481" s="227"/>
      <c r="AJ481" s="275"/>
    </row>
    <row r="482" spans="32:43" x14ac:dyDescent="0.2">
      <c r="AF482" s="276" t="s">
        <v>265</v>
      </c>
      <c r="AG482" s="354" t="s">
        <v>266</v>
      </c>
      <c r="AH482" s="354"/>
      <c r="AI482" s="189" t="s">
        <v>267</v>
      </c>
      <c r="AJ482" s="355" t="s">
        <v>268</v>
      </c>
      <c r="AK482" s="355"/>
      <c r="AL482" s="356" t="s">
        <v>269</v>
      </c>
      <c r="AM482" s="356"/>
      <c r="AN482" s="356" t="s">
        <v>270</v>
      </c>
      <c r="AO482" s="356"/>
      <c r="AP482" s="356" t="s">
        <v>271</v>
      </c>
      <c r="AQ482" s="356"/>
    </row>
    <row r="483" spans="32:43" x14ac:dyDescent="0.2">
      <c r="AF483" s="348" t="str">
        <f>AF452</f>
        <v>Weather 
Normal Conversion 
Factor</v>
      </c>
      <c r="AG483" s="349"/>
      <c r="AH483" s="349"/>
      <c r="AI483" s="349"/>
      <c r="AJ483" s="349"/>
      <c r="AK483" s="350"/>
      <c r="AL483" s="277">
        <f>AM452</f>
        <v>1.0033496505503621</v>
      </c>
      <c r="AM483" s="277">
        <f>F140</f>
        <v>1.0036524760669634</v>
      </c>
      <c r="AN483" s="351"/>
      <c r="AO483" s="352"/>
      <c r="AP483" s="351"/>
      <c r="AQ483" s="352"/>
    </row>
    <row r="484" spans="32:43" ht="25.5" x14ac:dyDescent="0.2">
      <c r="AF484" s="279"/>
      <c r="AG484" s="180" t="str">
        <f>AB471</f>
        <v>2013 
Actual</v>
      </c>
      <c r="AH484" s="180" t="str">
        <f>AC471</f>
        <v>2014 
Actual</v>
      </c>
      <c r="AI484" s="280"/>
      <c r="AJ484" s="180" t="str">
        <f>AG484</f>
        <v>2013 
Actual</v>
      </c>
      <c r="AK484" s="180" t="str">
        <f>AH484</f>
        <v>2014 
Actual</v>
      </c>
      <c r="AL484" s="180" t="str">
        <f>AJ484</f>
        <v>2013 
Actual</v>
      </c>
      <c r="AM484" s="180" t="str">
        <f>AK484</f>
        <v>2014 
Actual</v>
      </c>
      <c r="AN484" s="180" t="str">
        <f>AJ484</f>
        <v>2013 
Actual</v>
      </c>
      <c r="AO484" s="180" t="str">
        <f>AK484</f>
        <v>2014 
Actual</v>
      </c>
      <c r="AP484" s="180" t="str">
        <f>AL484</f>
        <v>2013 
Actual</v>
      </c>
      <c r="AQ484" s="180" t="str">
        <f>AM484</f>
        <v>2014 
Actual</v>
      </c>
    </row>
    <row r="485" spans="32:43" x14ac:dyDescent="0.2">
      <c r="AF485" s="271" t="str">
        <f>AF454</f>
        <v>Residential</v>
      </c>
      <c r="AG485" s="266">
        <f>AH454</f>
        <v>10082.5</v>
      </c>
      <c r="AH485" s="266">
        <f>T340</f>
        <v>10153.5</v>
      </c>
      <c r="AI485" s="270" t="str">
        <f>AI463</f>
        <v>kWh</v>
      </c>
      <c r="AJ485" s="266">
        <f>AK454</f>
        <v>88791227</v>
      </c>
      <c r="AK485" s="266">
        <f>T341</f>
        <v>89130958</v>
      </c>
      <c r="AL485" s="270">
        <f>AJ485*$AL$483</f>
        <v>89088646.582387879</v>
      </c>
      <c r="AM485" s="266">
        <f>AK485*$AM$483</f>
        <v>89456506.690920517</v>
      </c>
      <c r="AN485" s="270">
        <f>AJ485/AG485</f>
        <v>8806.4693280436404</v>
      </c>
      <c r="AO485" s="270">
        <f>AK485/AH485</f>
        <v>8778.3481558083422</v>
      </c>
      <c r="AP485" s="270">
        <f>AL485/AG485</f>
        <v>8835.9679228750683</v>
      </c>
      <c r="AQ485" s="270">
        <f>AM485/AH485</f>
        <v>8810.4108623549037</v>
      </c>
    </row>
    <row r="486" spans="32:43" x14ac:dyDescent="0.2">
      <c r="AF486" s="271" t="str">
        <f t="shared" ref="AF486:AF491" si="172">AF455</f>
        <v>GS&lt;50</v>
      </c>
      <c r="AG486" s="266">
        <f>AH455</f>
        <v>1207.5</v>
      </c>
      <c r="AH486" s="266">
        <f>T344</f>
        <v>1214.5</v>
      </c>
      <c r="AI486" s="270" t="str">
        <f t="shared" ref="AI486:AI491" si="173">AI464</f>
        <v>kWh</v>
      </c>
      <c r="AJ486" s="266">
        <f>AK455</f>
        <v>28921439</v>
      </c>
      <c r="AK486" s="266">
        <f>T345</f>
        <v>29746584</v>
      </c>
      <c r="AL486" s="270">
        <f t="shared" ref="AL486:AL491" si="174">AJ486*$AL$483</f>
        <v>29018315.714063615</v>
      </c>
      <c r="AM486" s="266">
        <f t="shared" ref="AM486:AM491" si="175">AK486*$AM$483</f>
        <v>29855232.686133917</v>
      </c>
      <c r="AN486" s="270">
        <f t="shared" ref="AN486:AN491" si="176">AJ486/AG486</f>
        <v>23951.502277432712</v>
      </c>
      <c r="AO486" s="270">
        <f t="shared" ref="AO486:AO491" si="177">AK486/AH486</f>
        <v>24492.864553314121</v>
      </c>
      <c r="AP486" s="270">
        <f t="shared" ref="AP486:AP491" si="178">AL486/AG486</f>
        <v>24031.731440218315</v>
      </c>
      <c r="AQ486" s="270">
        <f t="shared" ref="AQ486:AQ491" si="179">AM486/AH486</f>
        <v>24582.324154906477</v>
      </c>
    </row>
    <row r="487" spans="32:43" x14ac:dyDescent="0.2">
      <c r="AF487" s="271" t="str">
        <f t="shared" si="172"/>
        <v>GS&gt;50</v>
      </c>
      <c r="AG487" s="266">
        <f>AH456</f>
        <v>89</v>
      </c>
      <c r="AH487" s="266">
        <f>T348</f>
        <v>90</v>
      </c>
      <c r="AI487" s="270" t="str">
        <f t="shared" si="173"/>
        <v>kW</v>
      </c>
      <c r="AJ487" s="266">
        <f>AK456</f>
        <v>181892.6</v>
      </c>
      <c r="AK487" s="266">
        <f>T350</f>
        <v>186325.9</v>
      </c>
      <c r="AL487" s="270">
        <f t="shared" si="174"/>
        <v>182501.8766476968</v>
      </c>
      <c r="AM487" s="266">
        <f t="shared" si="175"/>
        <v>187006.45089040539</v>
      </c>
      <c r="AN487" s="270">
        <f t="shared" si="176"/>
        <v>2043.7370786516854</v>
      </c>
      <c r="AO487" s="270">
        <f t="shared" si="177"/>
        <v>2070.2877777777776</v>
      </c>
      <c r="AP487" s="270">
        <f t="shared" si="178"/>
        <v>2050.5828836819865</v>
      </c>
      <c r="AQ487" s="270">
        <f t="shared" si="179"/>
        <v>2077.8494543378379</v>
      </c>
    </row>
    <row r="488" spans="32:43" x14ac:dyDescent="0.2">
      <c r="AF488" s="271" t="str">
        <f t="shared" si="172"/>
        <v>Street Lights</v>
      </c>
      <c r="AG488" s="266">
        <f>AH457</f>
        <v>2807.5</v>
      </c>
      <c r="AH488" s="266">
        <f>T353</f>
        <v>2816.5</v>
      </c>
      <c r="AI488" s="270" t="str">
        <f t="shared" si="173"/>
        <v>kW</v>
      </c>
      <c r="AJ488" s="266">
        <f>AK457</f>
        <v>6799.3</v>
      </c>
      <c r="AK488" s="266">
        <f>T355</f>
        <v>6450</v>
      </c>
      <c r="AL488" s="270">
        <f t="shared" si="174"/>
        <v>6822.0752789870767</v>
      </c>
      <c r="AM488" s="266">
        <f t="shared" si="175"/>
        <v>6473.5584706319141</v>
      </c>
      <c r="AN488" s="270">
        <f t="shared" si="176"/>
        <v>2.4218343722172753</v>
      </c>
      <c r="AO488" s="270">
        <f t="shared" si="177"/>
        <v>2.2900763358778624</v>
      </c>
      <c r="AP488" s="270">
        <f t="shared" si="178"/>
        <v>2.4299466710550583</v>
      </c>
      <c r="AQ488" s="270">
        <f t="shared" si="179"/>
        <v>2.2984407848861759</v>
      </c>
    </row>
    <row r="489" spans="32:43" x14ac:dyDescent="0.2">
      <c r="AF489" s="271" t="str">
        <f t="shared" si="172"/>
        <v>Unmetered Scattered Load</v>
      </c>
      <c r="AG489" s="266">
        <f t="shared" ref="AG489:AG491" si="180">AH458</f>
        <v>31.5</v>
      </c>
      <c r="AH489" s="266">
        <f>T358</f>
        <v>31</v>
      </c>
      <c r="AI489" s="270" t="str">
        <f t="shared" si="173"/>
        <v>kWh</v>
      </c>
      <c r="AJ489" s="266">
        <f t="shared" ref="AJ489:AJ491" si="181">AK458</f>
        <v>260597</v>
      </c>
      <c r="AK489" s="266">
        <f>T359</f>
        <v>259677</v>
      </c>
      <c r="AL489" s="270">
        <f t="shared" si="174"/>
        <v>261469.90888447271</v>
      </c>
      <c r="AM489" s="266">
        <f t="shared" si="175"/>
        <v>260625.46402764085</v>
      </c>
      <c r="AN489" s="270">
        <f t="shared" si="176"/>
        <v>8272.9206349206343</v>
      </c>
      <c r="AO489" s="270">
        <f t="shared" si="177"/>
        <v>8376.677419354839</v>
      </c>
      <c r="AP489" s="270">
        <f t="shared" si="178"/>
        <v>8300.6320280784985</v>
      </c>
      <c r="AQ489" s="270">
        <f t="shared" si="179"/>
        <v>8407.2730331497041</v>
      </c>
    </row>
    <row r="490" spans="32:43" x14ac:dyDescent="0.2">
      <c r="AF490" s="271" t="str">
        <f t="shared" si="172"/>
        <v>Sentinel Lights</v>
      </c>
      <c r="AG490" s="266">
        <f t="shared" si="180"/>
        <v>7</v>
      </c>
      <c r="AH490" s="266">
        <f>T362</f>
        <v>7</v>
      </c>
      <c r="AI490" s="270" t="str">
        <f t="shared" si="173"/>
        <v>kW</v>
      </c>
      <c r="AJ490" s="266">
        <f t="shared" si="181"/>
        <v>14</v>
      </c>
      <c r="AK490" s="266">
        <f>T364</f>
        <v>14</v>
      </c>
      <c r="AL490" s="270">
        <f t="shared" si="174"/>
        <v>14.046895107705069</v>
      </c>
      <c r="AM490" s="266">
        <f t="shared" si="175"/>
        <v>14.051134664937488</v>
      </c>
      <c r="AN490" s="270">
        <f t="shared" si="176"/>
        <v>2</v>
      </c>
      <c r="AO490" s="270">
        <f t="shared" si="177"/>
        <v>2</v>
      </c>
      <c r="AP490" s="270">
        <f t="shared" si="178"/>
        <v>2.0066993011007241</v>
      </c>
      <c r="AQ490" s="270">
        <f t="shared" si="179"/>
        <v>2.0073049521339268</v>
      </c>
    </row>
    <row r="491" spans="32:43" x14ac:dyDescent="0.2">
      <c r="AF491" s="271" t="str">
        <f t="shared" si="172"/>
        <v>Embedded Distributor</v>
      </c>
      <c r="AG491" s="266">
        <f t="shared" si="180"/>
        <v>4</v>
      </c>
      <c r="AH491" s="266">
        <f>T367</f>
        <v>4</v>
      </c>
      <c r="AI491" s="270" t="str">
        <f t="shared" si="173"/>
        <v>kW</v>
      </c>
      <c r="AJ491" s="266">
        <f t="shared" si="181"/>
        <v>110634.70000000001</v>
      </c>
      <c r="AK491" s="266">
        <f>T369</f>
        <v>115370.49999999999</v>
      </c>
      <c r="AL491" s="270">
        <f t="shared" si="174"/>
        <v>111005.28758374415</v>
      </c>
      <c r="AM491" s="266">
        <f t="shared" si="175"/>
        <v>115791.88799008359</v>
      </c>
      <c r="AN491" s="270">
        <f t="shared" si="176"/>
        <v>27658.675000000003</v>
      </c>
      <c r="AO491" s="270">
        <f t="shared" si="177"/>
        <v>28842.624999999996</v>
      </c>
      <c r="AP491" s="270">
        <f t="shared" si="178"/>
        <v>27751.321895936038</v>
      </c>
      <c r="AQ491" s="270">
        <f t="shared" si="179"/>
        <v>28947.971997520897</v>
      </c>
    </row>
    <row r="492" spans="32:43" x14ac:dyDescent="0.2">
      <c r="AF492" s="271" t="s">
        <v>11</v>
      </c>
      <c r="AG492" s="266">
        <f>SUM(AG485:AG491)</f>
        <v>14229</v>
      </c>
      <c r="AH492" s="266">
        <f>SUM(AH485:AH491)</f>
        <v>14316.5</v>
      </c>
      <c r="AI492" s="270"/>
      <c r="AJ492" s="281"/>
      <c r="AK492" s="281"/>
      <c r="AL492" s="281"/>
      <c r="AM492" s="281"/>
      <c r="AN492" s="281"/>
      <c r="AO492" s="281"/>
      <c r="AP492" s="281"/>
      <c r="AQ492" s="281"/>
    </row>
    <row r="493" spans="32:43" x14ac:dyDescent="0.2">
      <c r="AF493" s="179"/>
      <c r="AG493" s="353" t="s">
        <v>274</v>
      </c>
      <c r="AH493" s="353"/>
      <c r="AI493" s="179"/>
      <c r="AJ493" s="353" t="s">
        <v>274</v>
      </c>
      <c r="AK493" s="353"/>
      <c r="AL493" s="353" t="s">
        <v>274</v>
      </c>
      <c r="AM493" s="353"/>
      <c r="AN493" s="353" t="s">
        <v>274</v>
      </c>
      <c r="AO493" s="353"/>
      <c r="AP493" s="353" t="s">
        <v>274</v>
      </c>
      <c r="AQ493" s="353"/>
    </row>
    <row r="494" spans="32:43" x14ac:dyDescent="0.2">
      <c r="AF494" s="282" t="str">
        <f>AF485</f>
        <v>Residential</v>
      </c>
      <c r="AG494" s="346">
        <f>AH485-AG485</f>
        <v>71</v>
      </c>
      <c r="AH494" s="347"/>
      <c r="AI494" s="270" t="str">
        <f>AI485</f>
        <v>kWh</v>
      </c>
      <c r="AJ494" s="346">
        <f>AK485-AJ485</f>
        <v>339731</v>
      </c>
      <c r="AK494" s="347"/>
      <c r="AL494" s="346">
        <f>AM485-AL485</f>
        <v>367860.10853263736</v>
      </c>
      <c r="AM494" s="347"/>
      <c r="AN494" s="346">
        <f>AO485-AN485</f>
        <v>-28.121172235298218</v>
      </c>
      <c r="AO494" s="347"/>
      <c r="AP494" s="346">
        <f>AQ485-AP485</f>
        <v>-25.557060520164669</v>
      </c>
      <c r="AQ494" s="347"/>
    </row>
    <row r="495" spans="32:43" x14ac:dyDescent="0.2">
      <c r="AF495" s="282" t="str">
        <f t="shared" ref="AF495:AF500" si="182">AF486</f>
        <v>GS&lt;50</v>
      </c>
      <c r="AG495" s="346">
        <f>AH486-AG486</f>
        <v>7</v>
      </c>
      <c r="AH495" s="347"/>
      <c r="AI495" s="270" t="str">
        <f t="shared" ref="AI495:AI500" si="183">AI486</f>
        <v>kWh</v>
      </c>
      <c r="AJ495" s="346">
        <f>AK486-AJ486</f>
        <v>825145</v>
      </c>
      <c r="AK495" s="347"/>
      <c r="AL495" s="346">
        <f>AM486-AL486</f>
        <v>836916.97207030281</v>
      </c>
      <c r="AM495" s="347"/>
      <c r="AN495" s="346">
        <f>AO486-AN486</f>
        <v>541.362275881409</v>
      </c>
      <c r="AO495" s="347"/>
      <c r="AP495" s="346">
        <f>AQ486-AP486</f>
        <v>550.59271468816223</v>
      </c>
      <c r="AQ495" s="347"/>
    </row>
    <row r="496" spans="32:43" x14ac:dyDescent="0.2">
      <c r="AF496" s="282" t="str">
        <f t="shared" si="182"/>
        <v>GS&gt;50</v>
      </c>
      <c r="AG496" s="346">
        <f>AH487-AG487</f>
        <v>1</v>
      </c>
      <c r="AH496" s="347"/>
      <c r="AI496" s="270" t="str">
        <f t="shared" si="183"/>
        <v>kW</v>
      </c>
      <c r="AJ496" s="346">
        <f>AK487-AJ487</f>
        <v>4433.2999999999884</v>
      </c>
      <c r="AK496" s="347"/>
      <c r="AL496" s="346">
        <f>AM487-AL487</f>
        <v>4504.5742427085934</v>
      </c>
      <c r="AM496" s="347"/>
      <c r="AN496" s="346">
        <f>AO487-AN487</f>
        <v>26.55069912609224</v>
      </c>
      <c r="AO496" s="347"/>
      <c r="AP496" s="346">
        <f>AQ487-AP487</f>
        <v>27.26657065585141</v>
      </c>
      <c r="AQ496" s="347"/>
    </row>
    <row r="497" spans="27:55" x14ac:dyDescent="0.2">
      <c r="AF497" s="282" t="str">
        <f t="shared" si="182"/>
        <v>Street Lights</v>
      </c>
      <c r="AG497" s="346">
        <f>AH488-AG488</f>
        <v>9</v>
      </c>
      <c r="AH497" s="347"/>
      <c r="AI497" s="270" t="str">
        <f t="shared" si="183"/>
        <v>kW</v>
      </c>
      <c r="AJ497" s="346">
        <f>AK488-AJ488</f>
        <v>-349.30000000000018</v>
      </c>
      <c r="AK497" s="347"/>
      <c r="AL497" s="346">
        <f>AM488-AL488</f>
        <v>-348.51680835516254</v>
      </c>
      <c r="AM497" s="347"/>
      <c r="AN497" s="346">
        <f>AO488-AN488</f>
        <v>-0.13175803633941285</v>
      </c>
      <c r="AO497" s="347"/>
      <c r="AP497" s="346">
        <f>AQ488-AP488</f>
        <v>-0.13150588616888248</v>
      </c>
      <c r="AQ497" s="347"/>
      <c r="AR497" s="116"/>
      <c r="AS497" s="116"/>
      <c r="AT497" s="116"/>
      <c r="AU497" s="116"/>
      <c r="AV497" s="116"/>
      <c r="AW497" s="116"/>
      <c r="AX497" s="116"/>
      <c r="AY497" s="116"/>
      <c r="AZ497" s="116"/>
      <c r="BA497" s="116"/>
      <c r="BB497" s="116"/>
      <c r="BC497" s="116"/>
    </row>
    <row r="498" spans="27:55" x14ac:dyDescent="0.2">
      <c r="AF498" s="282" t="str">
        <f t="shared" si="182"/>
        <v>Unmetered Scattered Load</v>
      </c>
      <c r="AG498" s="346">
        <f t="shared" ref="AG498:AG500" si="184">AH489-AG489</f>
        <v>-0.5</v>
      </c>
      <c r="AH498" s="347"/>
      <c r="AI498" s="270" t="str">
        <f t="shared" si="183"/>
        <v>kWh</v>
      </c>
      <c r="AJ498" s="346">
        <f t="shared" ref="AJ498:AJ500" si="185">AK489-AJ489</f>
        <v>-920</v>
      </c>
      <c r="AK498" s="347"/>
      <c r="AL498" s="346">
        <f t="shared" ref="AL498:AL500" si="186">AM489-AL489</f>
        <v>-844.44485683186213</v>
      </c>
      <c r="AM498" s="347"/>
      <c r="AN498" s="346">
        <f t="shared" ref="AN498:AN500" si="187">AO489-AN489</f>
        <v>103.75678443420475</v>
      </c>
      <c r="AO498" s="347"/>
      <c r="AP498" s="346">
        <f t="shared" ref="AP498:AP500" si="188">AQ489-AP489</f>
        <v>106.64100507120565</v>
      </c>
      <c r="AQ498" s="347"/>
      <c r="AR498" s="116"/>
      <c r="AS498" s="116"/>
      <c r="AT498" s="116"/>
      <c r="AU498" s="116"/>
      <c r="AV498" s="116"/>
      <c r="AW498" s="116"/>
      <c r="AX498" s="116"/>
      <c r="AY498" s="116"/>
      <c r="AZ498" s="116"/>
      <c r="BA498" s="116"/>
      <c r="BB498" s="116"/>
      <c r="BC498" s="116"/>
    </row>
    <row r="499" spans="27:55" x14ac:dyDescent="0.2">
      <c r="AF499" s="282" t="str">
        <f t="shared" si="182"/>
        <v>Sentinel Lights</v>
      </c>
      <c r="AG499" s="346">
        <f t="shared" si="184"/>
        <v>0</v>
      </c>
      <c r="AH499" s="347"/>
      <c r="AI499" s="270" t="str">
        <f t="shared" si="183"/>
        <v>kW</v>
      </c>
      <c r="AJ499" s="346">
        <f t="shared" si="185"/>
        <v>0</v>
      </c>
      <c r="AK499" s="347"/>
      <c r="AL499" s="346">
        <f t="shared" si="186"/>
        <v>4.2395572324185338E-3</v>
      </c>
      <c r="AM499" s="347"/>
      <c r="AN499" s="346">
        <f t="shared" si="187"/>
        <v>0</v>
      </c>
      <c r="AO499" s="347"/>
      <c r="AP499" s="346">
        <f t="shared" si="188"/>
        <v>6.0565103320264768E-4</v>
      </c>
      <c r="AQ499" s="347"/>
      <c r="AR499" s="116"/>
      <c r="AS499" s="116"/>
      <c r="AT499" s="116"/>
      <c r="AU499" s="116"/>
      <c r="AV499" s="116"/>
      <c r="AW499" s="116"/>
      <c r="AX499" s="116"/>
      <c r="AY499" s="116"/>
      <c r="AZ499" s="116"/>
      <c r="BA499" s="116"/>
      <c r="BB499" s="116"/>
      <c r="BC499" s="116"/>
    </row>
    <row r="500" spans="27:55" x14ac:dyDescent="0.2">
      <c r="AF500" s="282" t="str">
        <f t="shared" si="182"/>
        <v>Embedded Distributor</v>
      </c>
      <c r="AG500" s="346">
        <f t="shared" si="184"/>
        <v>0</v>
      </c>
      <c r="AH500" s="347"/>
      <c r="AI500" s="270" t="str">
        <f t="shared" si="183"/>
        <v>kW</v>
      </c>
      <c r="AJ500" s="346">
        <f t="shared" si="185"/>
        <v>4735.7999999999738</v>
      </c>
      <c r="AK500" s="347"/>
      <c r="AL500" s="346">
        <f t="shared" si="186"/>
        <v>4786.6004063394357</v>
      </c>
      <c r="AM500" s="347"/>
      <c r="AN500" s="346">
        <f t="shared" si="187"/>
        <v>1183.9499999999935</v>
      </c>
      <c r="AO500" s="347"/>
      <c r="AP500" s="346">
        <f t="shared" si="188"/>
        <v>1196.6501015848589</v>
      </c>
      <c r="AQ500" s="347"/>
      <c r="AR500" s="116"/>
      <c r="AS500" s="116"/>
      <c r="AT500" s="116"/>
      <c r="AU500" s="116"/>
      <c r="AV500" s="116"/>
      <c r="AW500" s="116"/>
      <c r="AX500" s="116"/>
      <c r="AY500" s="116"/>
      <c r="AZ500" s="116"/>
      <c r="BA500" s="116"/>
      <c r="BB500" s="116"/>
      <c r="BC500" s="116"/>
    </row>
    <row r="501" spans="27:55" x14ac:dyDescent="0.2">
      <c r="AA501" s="251" t="s">
        <v>281</v>
      </c>
      <c r="AB501" s="251"/>
      <c r="AC501" s="251"/>
      <c r="AD501" s="227"/>
      <c r="AE501" s="227"/>
      <c r="AR501" s="116"/>
      <c r="AS501" s="116"/>
      <c r="AT501" s="116"/>
      <c r="AU501" s="116"/>
      <c r="AV501" s="116"/>
      <c r="AW501" s="116"/>
      <c r="AX501" s="116"/>
      <c r="AY501" s="116"/>
      <c r="AZ501" s="116"/>
      <c r="BA501" s="116"/>
      <c r="BB501" s="116"/>
      <c r="BC501" s="116"/>
    </row>
    <row r="502" spans="27:55" ht="25.5" x14ac:dyDescent="0.2">
      <c r="AA502" s="269" t="s">
        <v>260</v>
      </c>
      <c r="AB502" s="270" t="str">
        <f t="shared" ref="AB502:AB509" si="189">AC471</f>
        <v>2014 
Actual</v>
      </c>
      <c r="AC502" s="270" t="s">
        <v>249</v>
      </c>
      <c r="AD502" s="270" t="s">
        <v>262</v>
      </c>
      <c r="AE502" s="270" t="s">
        <v>263</v>
      </c>
      <c r="AR502" s="116"/>
      <c r="AS502" s="116"/>
      <c r="AT502" s="116"/>
      <c r="AU502" s="116"/>
      <c r="AV502" s="116"/>
      <c r="AW502" s="116"/>
      <c r="AX502" s="116"/>
      <c r="AY502" s="116"/>
      <c r="AZ502" s="116"/>
      <c r="BA502" s="116"/>
      <c r="BB502" s="116"/>
      <c r="BC502" s="116"/>
    </row>
    <row r="503" spans="27:55" x14ac:dyDescent="0.2">
      <c r="AA503" s="271" t="str">
        <f t="shared" ref="AA503:AA509" si="190">AA472</f>
        <v>Residential</v>
      </c>
      <c r="AB503" s="272">
        <f t="shared" si="189"/>
        <v>2213912</v>
      </c>
      <c r="AC503" s="272">
        <f t="shared" ref="AC503:AC509" si="191">U5</f>
        <v>2248530.17</v>
      </c>
      <c r="AD503" s="272">
        <f>AC503-AB503</f>
        <v>34618.169999999925</v>
      </c>
      <c r="AE503" s="273">
        <f>AD503/AB503</f>
        <v>1.5636651321281027E-2</v>
      </c>
      <c r="AR503" s="116"/>
      <c r="AS503" s="116"/>
      <c r="AT503" s="116"/>
      <c r="AU503" s="116"/>
      <c r="AV503" s="116"/>
      <c r="AW503" s="116"/>
      <c r="AX503" s="116"/>
      <c r="AY503" s="116"/>
      <c r="AZ503" s="116"/>
      <c r="BA503" s="116"/>
      <c r="BB503" s="116"/>
      <c r="BC503" s="116"/>
    </row>
    <row r="504" spans="27:55" x14ac:dyDescent="0.2">
      <c r="AA504" s="271" t="str">
        <f t="shared" si="190"/>
        <v>GS&lt;50</v>
      </c>
      <c r="AB504" s="272">
        <f t="shared" si="189"/>
        <v>431736.7</v>
      </c>
      <c r="AC504" s="272">
        <f t="shared" si="191"/>
        <v>385021</v>
      </c>
      <c r="AD504" s="272">
        <f t="shared" ref="AD504:AD509" si="192">AC504-AB504</f>
        <v>-46715.700000000012</v>
      </c>
      <c r="AE504" s="273">
        <f t="shared" ref="AE504:AE509" si="193">AD504/AB504</f>
        <v>-0.10820414386824194</v>
      </c>
    </row>
    <row r="505" spans="27:55" x14ac:dyDescent="0.2">
      <c r="AA505" s="271" t="str">
        <f t="shared" si="190"/>
        <v>GS&gt;50</v>
      </c>
      <c r="AB505" s="272">
        <f t="shared" si="189"/>
        <v>590077.4</v>
      </c>
      <c r="AC505" s="272">
        <f t="shared" si="191"/>
        <v>434811</v>
      </c>
      <c r="AD505" s="272">
        <f t="shared" si="192"/>
        <v>-155266.40000000002</v>
      </c>
      <c r="AE505" s="273">
        <f t="shared" si="193"/>
        <v>-0.26312887089049675</v>
      </c>
    </row>
    <row r="506" spans="27:55" x14ac:dyDescent="0.2">
      <c r="AA506" s="271" t="str">
        <f t="shared" si="190"/>
        <v>Street Lights</v>
      </c>
      <c r="AB506" s="272">
        <f t="shared" si="189"/>
        <v>298.11</v>
      </c>
      <c r="AC506" s="272">
        <f t="shared" si="191"/>
        <v>271.64999999999998</v>
      </c>
      <c r="AD506" s="272">
        <f t="shared" si="192"/>
        <v>-26.460000000000036</v>
      </c>
      <c r="AE506" s="273">
        <f t="shared" si="193"/>
        <v>-8.8759182851967516E-2</v>
      </c>
    </row>
    <row r="507" spans="27:55" x14ac:dyDescent="0.2">
      <c r="AA507" s="271" t="str">
        <f t="shared" si="190"/>
        <v>Unmetered Scattered Load</v>
      </c>
      <c r="AB507" s="272">
        <f t="shared" si="189"/>
        <v>82503.199999999997</v>
      </c>
      <c r="AC507" s="272">
        <f t="shared" si="191"/>
        <v>91416</v>
      </c>
      <c r="AD507" s="272">
        <f t="shared" si="192"/>
        <v>8912.8000000000029</v>
      </c>
      <c r="AE507" s="273">
        <f t="shared" si="193"/>
        <v>0.10802974914912396</v>
      </c>
    </row>
    <row r="508" spans="27:55" x14ac:dyDescent="0.2">
      <c r="AA508" s="271" t="str">
        <f t="shared" si="190"/>
        <v>Sentinel Lights</v>
      </c>
      <c r="AB508" s="272">
        <f t="shared" si="189"/>
        <v>1</v>
      </c>
      <c r="AC508" s="272">
        <f t="shared" si="191"/>
        <v>2811.76</v>
      </c>
      <c r="AD508" s="272">
        <f t="shared" si="192"/>
        <v>2810.76</v>
      </c>
      <c r="AE508" s="273">
        <f t="shared" si="193"/>
        <v>2810.76</v>
      </c>
    </row>
    <row r="509" spans="27:55" x14ac:dyDescent="0.2">
      <c r="AA509" s="271" t="str">
        <f t="shared" si="190"/>
        <v>Embedded Distributor</v>
      </c>
      <c r="AB509" s="272">
        <f t="shared" si="189"/>
        <v>1</v>
      </c>
      <c r="AC509" s="272">
        <f t="shared" si="191"/>
        <v>163336</v>
      </c>
      <c r="AD509" s="272">
        <f t="shared" si="192"/>
        <v>163335</v>
      </c>
      <c r="AE509" s="273">
        <f t="shared" si="193"/>
        <v>163335</v>
      </c>
    </row>
    <row r="510" spans="27:55" x14ac:dyDescent="0.2">
      <c r="AA510" s="274" t="s">
        <v>17</v>
      </c>
      <c r="AB510" s="272">
        <f>SUM(AB503:AB509)</f>
        <v>3318529.41</v>
      </c>
      <c r="AC510" s="272">
        <f>SUM(AC503:AC509)</f>
        <v>3326197.5799999996</v>
      </c>
      <c r="AD510" s="272">
        <f t="shared" ref="AD510" si="194">AC510-AB510</f>
        <v>7668.1699999994598</v>
      </c>
      <c r="AE510" s="273">
        <f t="shared" ref="AE510" si="195">AD510/AB510</f>
        <v>2.3107132867023344E-3</v>
      </c>
    </row>
    <row r="512" spans="27:55" x14ac:dyDescent="0.2">
      <c r="AF512" s="251" t="s">
        <v>282</v>
      </c>
      <c r="AG512" s="251"/>
      <c r="AH512" s="251"/>
      <c r="AI512" s="227"/>
      <c r="AJ512" s="275"/>
    </row>
    <row r="513" spans="32:43" x14ac:dyDescent="0.2">
      <c r="AF513" s="276" t="s">
        <v>265</v>
      </c>
      <c r="AG513" s="354" t="s">
        <v>266</v>
      </c>
      <c r="AH513" s="354"/>
      <c r="AI513" s="189" t="s">
        <v>267</v>
      </c>
      <c r="AJ513" s="355" t="s">
        <v>268</v>
      </c>
      <c r="AK513" s="355"/>
      <c r="AL513" s="356" t="s">
        <v>269</v>
      </c>
      <c r="AM513" s="356"/>
      <c r="AN513" s="356" t="s">
        <v>270</v>
      </c>
      <c r="AO513" s="356"/>
      <c r="AP513" s="356" t="s">
        <v>271</v>
      </c>
      <c r="AQ513" s="356"/>
    </row>
    <row r="514" spans="32:43" x14ac:dyDescent="0.2">
      <c r="AF514" s="348" t="str">
        <f>AF483</f>
        <v>Weather 
Normal Conversion 
Factor</v>
      </c>
      <c r="AG514" s="349"/>
      <c r="AH514" s="349"/>
      <c r="AI514" s="349"/>
      <c r="AJ514" s="349"/>
      <c r="AK514" s="350"/>
      <c r="AL514" s="277">
        <f>AM483</f>
        <v>1.0036524760669634</v>
      </c>
      <c r="AM514" s="277">
        <f>F141</f>
        <v>1.0139167183429023</v>
      </c>
      <c r="AN514" s="351"/>
      <c r="AO514" s="352"/>
      <c r="AP514" s="351"/>
      <c r="AQ514" s="352"/>
    </row>
    <row r="515" spans="32:43" ht="25.5" x14ac:dyDescent="0.2">
      <c r="AF515" s="279"/>
      <c r="AG515" s="180" t="str">
        <f>AB502</f>
        <v>2014 
Actual</v>
      </c>
      <c r="AH515" s="180" t="str">
        <f>AC502</f>
        <v>2015 
Actual</v>
      </c>
      <c r="AI515" s="280"/>
      <c r="AJ515" s="180" t="str">
        <f>AG515</f>
        <v>2014 
Actual</v>
      </c>
      <c r="AK515" s="180" t="str">
        <f>AH515</f>
        <v>2015 
Actual</v>
      </c>
      <c r="AL515" s="180" t="str">
        <f>AJ515</f>
        <v>2014 
Actual</v>
      </c>
      <c r="AM515" s="180" t="str">
        <f>AK515</f>
        <v>2015 
Actual</v>
      </c>
      <c r="AN515" s="180" t="str">
        <f>AJ515</f>
        <v>2014 
Actual</v>
      </c>
      <c r="AO515" s="180" t="str">
        <f>AK515</f>
        <v>2015 
Actual</v>
      </c>
      <c r="AP515" s="180" t="str">
        <f>AL515</f>
        <v>2014 
Actual</v>
      </c>
      <c r="AQ515" s="180" t="str">
        <f>AM515</f>
        <v>2015 
Actual</v>
      </c>
    </row>
    <row r="516" spans="32:43" x14ac:dyDescent="0.2">
      <c r="AF516" s="271" t="str">
        <f>AF485</f>
        <v>Residential</v>
      </c>
      <c r="AG516" s="266">
        <f>AH485</f>
        <v>10153.5</v>
      </c>
      <c r="AH516" s="266">
        <f>U340</f>
        <v>10217.5</v>
      </c>
      <c r="AI516" s="270" t="str">
        <f>AI494</f>
        <v>kWh</v>
      </c>
      <c r="AJ516" s="266">
        <f>AK485</f>
        <v>89130958</v>
      </c>
      <c r="AK516" s="266">
        <f>U341</f>
        <v>90749018</v>
      </c>
      <c r="AL516" s="270">
        <f>AJ516*$AL$514</f>
        <v>89456506.690920517</v>
      </c>
      <c r="AM516" s="266">
        <f>AK516*$AM$514</f>
        <v>92011946.523400977</v>
      </c>
      <c r="AN516" s="270">
        <f>AJ516/AG516</f>
        <v>8778.3481558083422</v>
      </c>
      <c r="AO516" s="270">
        <f>AK516/AH516</f>
        <v>8881.7242965500373</v>
      </c>
      <c r="AP516" s="270">
        <f>AL516/AG516</f>
        <v>8810.4108623549037</v>
      </c>
      <c r="AQ516" s="270">
        <f>AM516/AH516</f>
        <v>9005.3287519844362</v>
      </c>
    </row>
    <row r="517" spans="32:43" x14ac:dyDescent="0.2">
      <c r="AF517" s="271" t="str">
        <f t="shared" ref="AF517:AF522" si="196">AF486</f>
        <v>GS&lt;50</v>
      </c>
      <c r="AG517" s="266">
        <f t="shared" ref="AG517:AG522" si="197">AH486</f>
        <v>1214.5</v>
      </c>
      <c r="AH517" s="266">
        <f>U344</f>
        <v>1221</v>
      </c>
      <c r="AI517" s="270" t="str">
        <f t="shared" ref="AI517:AI521" si="198">AI495</f>
        <v>kWh</v>
      </c>
      <c r="AJ517" s="266">
        <f>AK486</f>
        <v>29746584</v>
      </c>
      <c r="AK517" s="266">
        <f>U345</f>
        <v>28622003</v>
      </c>
      <c r="AL517" s="270">
        <f t="shared" ref="AL517:AL522" si="199">AJ517*$AL$514</f>
        <v>29855232.686133917</v>
      </c>
      <c r="AM517" s="266">
        <f t="shared" ref="AM517:AM522" si="200">AK517*$AM$514</f>
        <v>29020327.354160704</v>
      </c>
      <c r="AN517" s="270">
        <f t="shared" ref="AN517:AO519" si="201">AJ517/AG517</f>
        <v>24492.864553314121</v>
      </c>
      <c r="AO517" s="270">
        <f t="shared" si="201"/>
        <v>23441.4438984439</v>
      </c>
      <c r="AP517" s="270">
        <f t="shared" ref="AP517:AQ519" si="202">AL517/AG517</f>
        <v>24582.324154906477</v>
      </c>
      <c r="AQ517" s="270">
        <f>AM517/AH517</f>
        <v>23767.671870729486</v>
      </c>
    </row>
    <row r="518" spans="32:43" x14ac:dyDescent="0.2">
      <c r="AF518" s="271" t="str">
        <f t="shared" si="196"/>
        <v>GS&gt;50</v>
      </c>
      <c r="AG518" s="266">
        <f t="shared" si="197"/>
        <v>90</v>
      </c>
      <c r="AH518" s="266">
        <f>U348</f>
        <v>92.5</v>
      </c>
      <c r="AI518" s="270" t="str">
        <f t="shared" si="198"/>
        <v>kW</v>
      </c>
      <c r="AJ518" s="266">
        <f>AK487</f>
        <v>186325.9</v>
      </c>
      <c r="AK518" s="266">
        <f>U350</f>
        <v>195328</v>
      </c>
      <c r="AL518" s="270">
        <f t="shared" si="199"/>
        <v>187006.45089040539</v>
      </c>
      <c r="AM518" s="266">
        <f t="shared" si="200"/>
        <v>198046.32476048241</v>
      </c>
      <c r="AN518" s="270">
        <f t="shared" si="201"/>
        <v>2070.2877777777776</v>
      </c>
      <c r="AO518" s="270">
        <f t="shared" si="201"/>
        <v>2111.6540540540541</v>
      </c>
      <c r="AP518" s="270">
        <f t="shared" si="202"/>
        <v>2077.8494543378379</v>
      </c>
      <c r="AQ518" s="270">
        <f t="shared" si="202"/>
        <v>2141.0413487619721</v>
      </c>
    </row>
    <row r="519" spans="32:43" x14ac:dyDescent="0.2">
      <c r="AF519" s="271" t="str">
        <f t="shared" si="196"/>
        <v>Street Lights</v>
      </c>
      <c r="AG519" s="266">
        <f t="shared" si="197"/>
        <v>2816.5</v>
      </c>
      <c r="AH519" s="266">
        <f>U353</f>
        <v>2825.5</v>
      </c>
      <c r="AI519" s="270" t="str">
        <f t="shared" si="198"/>
        <v>kW</v>
      </c>
      <c r="AJ519" s="266">
        <f>AK488</f>
        <v>6450</v>
      </c>
      <c r="AK519" s="266">
        <f>U355</f>
        <v>6398</v>
      </c>
      <c r="AL519" s="270">
        <f t="shared" si="199"/>
        <v>6473.5584706319141</v>
      </c>
      <c r="AM519" s="266">
        <f t="shared" si="200"/>
        <v>6487.0391639578893</v>
      </c>
      <c r="AN519" s="270">
        <f t="shared" si="201"/>
        <v>2.2900763358778624</v>
      </c>
      <c r="AO519" s="270">
        <f>AK519/AH519</f>
        <v>2.2643779861971334</v>
      </c>
      <c r="AP519" s="270">
        <f t="shared" si="202"/>
        <v>2.2984407848861759</v>
      </c>
      <c r="AQ519" s="270">
        <f t="shared" si="202"/>
        <v>2.2958906968529074</v>
      </c>
    </row>
    <row r="520" spans="32:43" x14ac:dyDescent="0.2">
      <c r="AF520" s="271" t="str">
        <f t="shared" si="196"/>
        <v>Unmetered Scattered Load</v>
      </c>
      <c r="AG520" s="266">
        <f t="shared" si="197"/>
        <v>31</v>
      </c>
      <c r="AH520" s="266">
        <f>U358</f>
        <v>31</v>
      </c>
      <c r="AI520" s="270" t="str">
        <f t="shared" si="198"/>
        <v>kWh</v>
      </c>
      <c r="AJ520" s="266">
        <f t="shared" ref="AJ520:AJ522" si="203">AK489</f>
        <v>259677</v>
      </c>
      <c r="AK520" s="266">
        <f>U359</f>
        <v>259607</v>
      </c>
      <c r="AL520" s="270">
        <f t="shared" si="199"/>
        <v>260625.46402764085</v>
      </c>
      <c r="AM520" s="266">
        <f t="shared" si="200"/>
        <v>263219.87749884586</v>
      </c>
      <c r="AN520" s="270">
        <f t="shared" ref="AN520:AN522" si="204">AJ520/AG520</f>
        <v>8376.677419354839</v>
      </c>
      <c r="AO520" s="270">
        <f t="shared" ref="AO520:AO522" si="205">AK520/AH520</f>
        <v>8374.4193548387102</v>
      </c>
      <c r="AP520" s="270">
        <f t="shared" ref="AP520:AP522" si="206">AL520/AG520</f>
        <v>8407.2730331497041</v>
      </c>
      <c r="AQ520" s="270">
        <f t="shared" ref="AQ520:AQ522" si="207">AM520/AH520</f>
        <v>8490.9637902853501</v>
      </c>
    </row>
    <row r="521" spans="32:43" x14ac:dyDescent="0.2">
      <c r="AF521" s="271" t="str">
        <f t="shared" si="196"/>
        <v>Sentinel Lights</v>
      </c>
      <c r="AG521" s="266">
        <f t="shared" si="197"/>
        <v>7</v>
      </c>
      <c r="AH521" s="266">
        <f>U362</f>
        <v>7</v>
      </c>
      <c r="AI521" s="270" t="str">
        <f t="shared" si="198"/>
        <v>kW</v>
      </c>
      <c r="AJ521" s="266">
        <f t="shared" si="203"/>
        <v>14</v>
      </c>
      <c r="AK521" s="266">
        <f>U364</f>
        <v>14</v>
      </c>
      <c r="AL521" s="270">
        <f t="shared" si="199"/>
        <v>14.051134664937488</v>
      </c>
      <c r="AM521" s="266">
        <f t="shared" si="200"/>
        <v>14.194834056800632</v>
      </c>
      <c r="AN521" s="270">
        <f t="shared" si="204"/>
        <v>2</v>
      </c>
      <c r="AO521" s="270">
        <f t="shared" si="205"/>
        <v>2</v>
      </c>
      <c r="AP521" s="270">
        <f t="shared" si="206"/>
        <v>2.0073049521339268</v>
      </c>
      <c r="AQ521" s="270">
        <f t="shared" si="207"/>
        <v>2.0278334366858046</v>
      </c>
    </row>
    <row r="522" spans="32:43" x14ac:dyDescent="0.2">
      <c r="AF522" s="271" t="str">
        <f t="shared" si="196"/>
        <v>Embedded Distributor</v>
      </c>
      <c r="AG522" s="266">
        <f t="shared" si="197"/>
        <v>4</v>
      </c>
      <c r="AH522" s="266">
        <f>U367</f>
        <v>4</v>
      </c>
      <c r="AI522" s="270" t="str">
        <f>AI500</f>
        <v>kW</v>
      </c>
      <c r="AJ522" s="266">
        <f t="shared" si="203"/>
        <v>115370.49999999999</v>
      </c>
      <c r="AK522" s="266">
        <f>U369</f>
        <v>105467.49</v>
      </c>
      <c r="AL522" s="270">
        <f t="shared" si="199"/>
        <v>115791.88799008359</v>
      </c>
      <c r="AM522" s="266">
        <f t="shared" si="200"/>
        <v>106935.25135266288</v>
      </c>
      <c r="AN522" s="270">
        <f t="shared" si="204"/>
        <v>28842.624999999996</v>
      </c>
      <c r="AO522" s="270">
        <f t="shared" si="205"/>
        <v>26366.872500000001</v>
      </c>
      <c r="AP522" s="270">
        <f t="shared" si="206"/>
        <v>28947.971997520897</v>
      </c>
      <c r="AQ522" s="270">
        <f t="shared" si="207"/>
        <v>26733.812838165719</v>
      </c>
    </row>
    <row r="523" spans="32:43" x14ac:dyDescent="0.2">
      <c r="AF523" s="271" t="s">
        <v>11</v>
      </c>
      <c r="AG523" s="266">
        <f>SUM(AG516:AG522)</f>
        <v>14316.5</v>
      </c>
      <c r="AH523" s="266">
        <f>SUM(AH516:AH522)</f>
        <v>14398.5</v>
      </c>
      <c r="AI523" s="270"/>
      <c r="AJ523" s="281"/>
      <c r="AK523" s="281"/>
      <c r="AL523" s="281"/>
      <c r="AM523" s="281"/>
      <c r="AN523" s="281"/>
      <c r="AO523" s="281"/>
      <c r="AP523" s="281"/>
      <c r="AQ523" s="281"/>
    </row>
    <row r="524" spans="32:43" x14ac:dyDescent="0.2">
      <c r="AF524" s="179"/>
      <c r="AG524" s="353" t="s">
        <v>274</v>
      </c>
      <c r="AH524" s="353"/>
      <c r="AI524" s="179"/>
      <c r="AJ524" s="353" t="s">
        <v>274</v>
      </c>
      <c r="AK524" s="353"/>
      <c r="AL524" s="353" t="s">
        <v>274</v>
      </c>
      <c r="AM524" s="353"/>
      <c r="AN524" s="353" t="s">
        <v>274</v>
      </c>
      <c r="AO524" s="353"/>
      <c r="AP524" s="353" t="s">
        <v>274</v>
      </c>
      <c r="AQ524" s="353"/>
    </row>
    <row r="525" spans="32:43" x14ac:dyDescent="0.2">
      <c r="AF525" s="282" t="str">
        <f>AF516</f>
        <v>Residential</v>
      </c>
      <c r="AG525" s="346">
        <f>AH516-AG516</f>
        <v>64</v>
      </c>
      <c r="AH525" s="347"/>
      <c r="AI525" s="270" t="str">
        <f>AI516</f>
        <v>kWh</v>
      </c>
      <c r="AJ525" s="346">
        <f>AK516-AJ516</f>
        <v>1618060</v>
      </c>
      <c r="AK525" s="347"/>
      <c r="AL525" s="346">
        <f>AM516-AL516</f>
        <v>2555439.8324804604</v>
      </c>
      <c r="AM525" s="347"/>
      <c r="AN525" s="346">
        <f>AO516-AN516</f>
        <v>103.37614074169505</v>
      </c>
      <c r="AO525" s="347"/>
      <c r="AP525" s="346">
        <f>AQ516-AP516</f>
        <v>194.91788962953251</v>
      </c>
      <c r="AQ525" s="347"/>
    </row>
    <row r="526" spans="32:43" x14ac:dyDescent="0.2">
      <c r="AF526" s="282" t="str">
        <f>AF517</f>
        <v>GS&lt;50</v>
      </c>
      <c r="AG526" s="346">
        <f>AH517-AG517</f>
        <v>6.5</v>
      </c>
      <c r="AH526" s="347"/>
      <c r="AI526" s="270" t="str">
        <f t="shared" ref="AI526:AI531" si="208">AI517</f>
        <v>kWh</v>
      </c>
      <c r="AJ526" s="346">
        <f>AK517-AJ517</f>
        <v>-1124581</v>
      </c>
      <c r="AK526" s="347"/>
      <c r="AL526" s="346">
        <f>AM517-AL517</f>
        <v>-834905.3319732137</v>
      </c>
      <c r="AM526" s="347"/>
      <c r="AN526" s="346">
        <f>AO517-AN517</f>
        <v>-1051.4206548702205</v>
      </c>
      <c r="AO526" s="347"/>
      <c r="AP526" s="346">
        <f>AQ517-AP517</f>
        <v>-814.65228417699109</v>
      </c>
      <c r="AQ526" s="347"/>
    </row>
    <row r="527" spans="32:43" x14ac:dyDescent="0.2">
      <c r="AF527" s="282" t="str">
        <f>AF518</f>
        <v>GS&gt;50</v>
      </c>
      <c r="AG527" s="346">
        <f>AH518-AG518</f>
        <v>2.5</v>
      </c>
      <c r="AH527" s="347"/>
      <c r="AI527" s="270" t="str">
        <f t="shared" si="208"/>
        <v>kW</v>
      </c>
      <c r="AJ527" s="346">
        <f>AK518-AJ518</f>
        <v>9002.1000000000058</v>
      </c>
      <c r="AK527" s="347"/>
      <c r="AL527" s="346">
        <f>AM518-AL518</f>
        <v>11039.873870077019</v>
      </c>
      <c r="AM527" s="347"/>
      <c r="AN527" s="346">
        <f>AO518-AN518</f>
        <v>41.366276276276494</v>
      </c>
      <c r="AO527" s="347"/>
      <c r="AP527" s="346">
        <f>AQ518-AP518</f>
        <v>63.191894424134261</v>
      </c>
      <c r="AQ527" s="347"/>
    </row>
    <row r="528" spans="32:43" x14ac:dyDescent="0.2">
      <c r="AF528" s="282" t="str">
        <f>AF519</f>
        <v>Street Lights</v>
      </c>
      <c r="AG528" s="346">
        <f>AH519-AG519</f>
        <v>9</v>
      </c>
      <c r="AH528" s="347"/>
      <c r="AI528" s="270" t="str">
        <f t="shared" si="208"/>
        <v>kW</v>
      </c>
      <c r="AJ528" s="346">
        <f>AK519-AJ519</f>
        <v>-52</v>
      </c>
      <c r="AK528" s="347"/>
      <c r="AL528" s="346">
        <f>AM519-AL519</f>
        <v>13.480693325975153</v>
      </c>
      <c r="AM528" s="347"/>
      <c r="AN528" s="346">
        <f>AO519-AN519</f>
        <v>-2.5698349680729038E-2</v>
      </c>
      <c r="AO528" s="347"/>
      <c r="AP528" s="346">
        <f>AQ519-AP519</f>
        <v>-2.550088033268505E-3</v>
      </c>
      <c r="AQ528" s="347"/>
    </row>
    <row r="529" spans="27:43" x14ac:dyDescent="0.2">
      <c r="AF529" s="282" t="str">
        <f t="shared" ref="AF529:AF531" si="209">AF520</f>
        <v>Unmetered Scattered Load</v>
      </c>
      <c r="AG529" s="346">
        <f t="shared" ref="AG529:AG531" si="210">AH520-AG520</f>
        <v>0</v>
      </c>
      <c r="AH529" s="347"/>
      <c r="AI529" s="270" t="str">
        <f t="shared" si="208"/>
        <v>kWh</v>
      </c>
      <c r="AJ529" s="346">
        <f t="shared" ref="AJ529:AJ531" si="211">AK520-AJ520</f>
        <v>-70</v>
      </c>
      <c r="AK529" s="347"/>
      <c r="AL529" s="346">
        <f t="shared" ref="AL529:AL531" si="212">AM520-AL520</f>
        <v>2594.4134712050145</v>
      </c>
      <c r="AM529" s="347"/>
      <c r="AN529" s="346">
        <f t="shared" ref="AN529:AN531" si="213">AO520-AN520</f>
        <v>-2.2580645161287975</v>
      </c>
      <c r="AO529" s="347"/>
      <c r="AP529" s="346">
        <f t="shared" ref="AP529:AP531" si="214">AQ520-AP520</f>
        <v>83.690757135645981</v>
      </c>
      <c r="AQ529" s="347"/>
    </row>
    <row r="530" spans="27:43" x14ac:dyDescent="0.2">
      <c r="AF530" s="282" t="str">
        <f t="shared" si="209"/>
        <v>Sentinel Lights</v>
      </c>
      <c r="AG530" s="346">
        <f t="shared" si="210"/>
        <v>0</v>
      </c>
      <c r="AH530" s="347"/>
      <c r="AI530" s="270" t="str">
        <f t="shared" si="208"/>
        <v>kW</v>
      </c>
      <c r="AJ530" s="346">
        <f t="shared" si="211"/>
        <v>0</v>
      </c>
      <c r="AK530" s="347"/>
      <c r="AL530" s="346">
        <f t="shared" si="212"/>
        <v>0.1436993918631444</v>
      </c>
      <c r="AM530" s="347"/>
      <c r="AN530" s="346">
        <f t="shared" si="213"/>
        <v>0</v>
      </c>
      <c r="AO530" s="347"/>
      <c r="AP530" s="346">
        <f t="shared" si="214"/>
        <v>2.0528484551877835E-2</v>
      </c>
      <c r="AQ530" s="347"/>
    </row>
    <row r="531" spans="27:43" x14ac:dyDescent="0.2">
      <c r="AF531" s="282" t="str">
        <f t="shared" si="209"/>
        <v>Embedded Distributor</v>
      </c>
      <c r="AG531" s="346">
        <f t="shared" si="210"/>
        <v>0</v>
      </c>
      <c r="AH531" s="347"/>
      <c r="AI531" s="270" t="str">
        <f t="shared" si="208"/>
        <v>kW</v>
      </c>
      <c r="AJ531" s="346">
        <f t="shared" si="211"/>
        <v>-9903.0099999999802</v>
      </c>
      <c r="AK531" s="347"/>
      <c r="AL531" s="346">
        <f t="shared" si="212"/>
        <v>-8856.6366374207137</v>
      </c>
      <c r="AM531" s="347"/>
      <c r="AN531" s="346">
        <f t="shared" si="213"/>
        <v>-2475.7524999999951</v>
      </c>
      <c r="AO531" s="347"/>
      <c r="AP531" s="346">
        <f t="shared" si="214"/>
        <v>-2214.1591593551784</v>
      </c>
      <c r="AQ531" s="347"/>
    </row>
    <row r="532" spans="27:43" x14ac:dyDescent="0.2">
      <c r="AA532" s="251" t="s">
        <v>283</v>
      </c>
      <c r="AB532" s="251"/>
      <c r="AC532" s="251"/>
      <c r="AD532" s="227"/>
      <c r="AE532" s="227"/>
    </row>
    <row r="533" spans="27:43" ht="25.5" x14ac:dyDescent="0.2">
      <c r="AA533" s="269" t="s">
        <v>260</v>
      </c>
      <c r="AB533" s="270" t="str">
        <f t="shared" ref="AB533:AB540" si="215">AC502</f>
        <v>2015 
Actual</v>
      </c>
      <c r="AC533" s="270" t="s">
        <v>163</v>
      </c>
      <c r="AD533" s="270" t="s">
        <v>262</v>
      </c>
      <c r="AE533" s="270" t="s">
        <v>263</v>
      </c>
    </row>
    <row r="534" spans="27:43" x14ac:dyDescent="0.2">
      <c r="AA534" s="271" t="str">
        <f t="shared" ref="AA534:AA540" si="216">AA503</f>
        <v>Residential</v>
      </c>
      <c r="AB534" s="272">
        <f t="shared" si="215"/>
        <v>2248530.17</v>
      </c>
      <c r="AC534" s="272">
        <f t="shared" ref="AC534:AC540" si="217">V5</f>
        <v>2221219.6825808138</v>
      </c>
      <c r="AD534" s="272">
        <f>AC534-AB534</f>
        <v>-27310.48741918616</v>
      </c>
      <c r="AE534" s="273">
        <f>AD534/AB534</f>
        <v>-1.2145928831004371E-2</v>
      </c>
    </row>
    <row r="535" spans="27:43" x14ac:dyDescent="0.2">
      <c r="AA535" s="271" t="str">
        <f t="shared" si="216"/>
        <v>GS&lt;50</v>
      </c>
      <c r="AB535" s="272">
        <f t="shared" si="215"/>
        <v>385021</v>
      </c>
      <c r="AC535" s="272">
        <f t="shared" si="217"/>
        <v>380218.40727182978</v>
      </c>
      <c r="AD535" s="272">
        <f t="shared" ref="AD535:AD540" si="218">AC535-AB535</f>
        <v>-4802.592728170217</v>
      </c>
      <c r="AE535" s="273">
        <f t="shared" ref="AE535:AE540" si="219">AD535/AB535</f>
        <v>-1.2473586448973477E-2</v>
      </c>
    </row>
    <row r="536" spans="27:43" x14ac:dyDescent="0.2">
      <c r="AA536" s="271" t="str">
        <f t="shared" si="216"/>
        <v>GS&gt;50</v>
      </c>
      <c r="AB536" s="272">
        <f t="shared" si="215"/>
        <v>434811</v>
      </c>
      <c r="AC536" s="272">
        <f t="shared" si="217"/>
        <v>512805.45305821195</v>
      </c>
      <c r="AD536" s="272">
        <f t="shared" si="218"/>
        <v>77994.453058211948</v>
      </c>
      <c r="AE536" s="273">
        <f t="shared" si="219"/>
        <v>0.17937552881185606</v>
      </c>
    </row>
    <row r="537" spans="27:43" x14ac:dyDescent="0.2">
      <c r="AA537" s="271" t="str">
        <f t="shared" si="216"/>
        <v>Street Lights</v>
      </c>
      <c r="AB537" s="272">
        <f t="shared" si="215"/>
        <v>271.64999999999998</v>
      </c>
      <c r="AC537" s="272">
        <f t="shared" si="217"/>
        <v>345.37720000000002</v>
      </c>
      <c r="AD537" s="272">
        <f t="shared" si="218"/>
        <v>73.727200000000039</v>
      </c>
      <c r="AE537" s="273">
        <f t="shared" si="219"/>
        <v>0.27140511687833624</v>
      </c>
    </row>
    <row r="538" spans="27:43" x14ac:dyDescent="0.2">
      <c r="AA538" s="271" t="str">
        <f t="shared" si="216"/>
        <v>Unmetered Scattered Load</v>
      </c>
      <c r="AB538" s="272">
        <f t="shared" si="215"/>
        <v>91416</v>
      </c>
      <c r="AC538" s="272">
        <f t="shared" si="217"/>
        <v>113557.63432747728</v>
      </c>
      <c r="AD538" s="272">
        <f t="shared" si="218"/>
        <v>22141.634327477281</v>
      </c>
      <c r="AE538" s="273">
        <f t="shared" si="219"/>
        <v>0.24220742897826728</v>
      </c>
    </row>
    <row r="539" spans="27:43" x14ac:dyDescent="0.2">
      <c r="AA539" s="271" t="str">
        <f t="shared" si="216"/>
        <v>Sentinel Lights</v>
      </c>
      <c r="AB539" s="272">
        <f t="shared" si="215"/>
        <v>2811.76</v>
      </c>
      <c r="AC539" s="272">
        <f t="shared" si="217"/>
        <v>2882.7127071939685</v>
      </c>
      <c r="AD539" s="272">
        <f t="shared" si="218"/>
        <v>70.952707193968308</v>
      </c>
      <c r="AE539" s="273">
        <f t="shared" si="219"/>
        <v>2.5234268640982268E-2</v>
      </c>
    </row>
    <row r="540" spans="27:43" x14ac:dyDescent="0.2">
      <c r="AA540" s="271" t="str">
        <f t="shared" si="216"/>
        <v>Embedded Distributor</v>
      </c>
      <c r="AB540" s="272">
        <f t="shared" si="215"/>
        <v>163336</v>
      </c>
      <c r="AC540" s="272">
        <f t="shared" si="217"/>
        <v>116294.81441988278</v>
      </c>
      <c r="AD540" s="272">
        <f t="shared" si="218"/>
        <v>-47041.185580117221</v>
      </c>
      <c r="AE540" s="273">
        <f t="shared" si="219"/>
        <v>-0.28800255657122265</v>
      </c>
    </row>
    <row r="541" spans="27:43" x14ac:dyDescent="0.2">
      <c r="AA541" s="274" t="s">
        <v>17</v>
      </c>
      <c r="AB541" s="272">
        <f>SUM(AB534:AB540)</f>
        <v>3326197.5799999996</v>
      </c>
      <c r="AC541" s="272">
        <f>SUM(AC534:AC540)</f>
        <v>3347324.0815654099</v>
      </c>
      <c r="AD541" s="272">
        <f t="shared" ref="AD541" si="220">AC541-AB541</f>
        <v>21126.50156541029</v>
      </c>
      <c r="AE541" s="273">
        <f t="shared" ref="AE541" si="221">AD541/AB541</f>
        <v>6.3515473922659436E-3</v>
      </c>
    </row>
    <row r="543" spans="27:43" x14ac:dyDescent="0.2">
      <c r="AF543" s="251" t="s">
        <v>284</v>
      </c>
      <c r="AG543" s="251"/>
      <c r="AH543" s="251"/>
      <c r="AI543" s="227"/>
      <c r="AJ543" s="275"/>
    </row>
    <row r="544" spans="27:43" x14ac:dyDescent="0.2">
      <c r="AF544" s="276" t="s">
        <v>265</v>
      </c>
      <c r="AG544" s="354" t="s">
        <v>266</v>
      </c>
      <c r="AH544" s="354"/>
      <c r="AI544" s="189" t="s">
        <v>267</v>
      </c>
      <c r="AJ544" s="355" t="s">
        <v>268</v>
      </c>
      <c r="AK544" s="355"/>
      <c r="AL544" s="356" t="s">
        <v>269</v>
      </c>
      <c r="AM544" s="356"/>
      <c r="AN544" s="356" t="s">
        <v>270</v>
      </c>
      <c r="AO544" s="356"/>
      <c r="AP544" s="356" t="s">
        <v>271</v>
      </c>
      <c r="AQ544" s="356"/>
    </row>
    <row r="545" spans="32:43" x14ac:dyDescent="0.2">
      <c r="AF545" s="348" t="str">
        <f>AF514</f>
        <v>Weather 
Normal Conversion 
Factor</v>
      </c>
      <c r="AG545" s="349"/>
      <c r="AH545" s="349"/>
      <c r="AI545" s="349"/>
      <c r="AJ545" s="349"/>
      <c r="AK545" s="350"/>
      <c r="AL545" s="277">
        <f>AM514</f>
        <v>1.0139167183429023</v>
      </c>
      <c r="AM545" s="277">
        <v>1</v>
      </c>
      <c r="AN545" s="351"/>
      <c r="AO545" s="352"/>
      <c r="AP545" s="351"/>
      <c r="AQ545" s="352"/>
    </row>
    <row r="546" spans="32:43" ht="25.5" x14ac:dyDescent="0.2">
      <c r="AF546" s="279"/>
      <c r="AG546" s="180" t="str">
        <f>AB533</f>
        <v>2015 
Actual</v>
      </c>
      <c r="AH546" s="180" t="str">
        <f>AC533</f>
        <v>2016
Bridge</v>
      </c>
      <c r="AI546" s="280"/>
      <c r="AJ546" s="180" t="str">
        <f>AG546</f>
        <v>2015 
Actual</v>
      </c>
      <c r="AK546" s="180" t="str">
        <f>AH546</f>
        <v>2016
Bridge</v>
      </c>
      <c r="AL546" s="180" t="str">
        <f>AJ546</f>
        <v>2015 
Actual</v>
      </c>
      <c r="AM546" s="180" t="str">
        <f>AK546</f>
        <v>2016
Bridge</v>
      </c>
      <c r="AN546" s="180" t="str">
        <f>AJ546</f>
        <v>2015 
Actual</v>
      </c>
      <c r="AO546" s="180" t="str">
        <f>AK546</f>
        <v>2016
Bridge</v>
      </c>
      <c r="AP546" s="180" t="str">
        <f>AL546</f>
        <v>2015 
Actual</v>
      </c>
      <c r="AQ546" s="180" t="str">
        <f>AM546</f>
        <v>2016
Bridge</v>
      </c>
    </row>
    <row r="547" spans="32:43" x14ac:dyDescent="0.2">
      <c r="AF547" s="271" t="str">
        <f>AF516</f>
        <v>Residential</v>
      </c>
      <c r="AG547" s="266">
        <f>AH516</f>
        <v>10217.5</v>
      </c>
      <c r="AH547" s="266">
        <f>V340</f>
        <v>10301.603081592852</v>
      </c>
      <c r="AI547" s="270" t="str">
        <f>AI525</f>
        <v>kWh</v>
      </c>
      <c r="AJ547" s="266">
        <f>AK516</f>
        <v>90749018</v>
      </c>
      <c r="AK547" s="266">
        <f>V341</f>
        <v>92479879.620842174</v>
      </c>
      <c r="AL547" s="270">
        <f>AJ547*$AL$545</f>
        <v>92011946.523400977</v>
      </c>
      <c r="AM547" s="266">
        <f>AK547*$AM$545</f>
        <v>92479879.620842174</v>
      </c>
      <c r="AN547" s="270">
        <f>AJ547/AG547</f>
        <v>8881.7242965500373</v>
      </c>
      <c r="AO547" s="270">
        <f>AK547/AH547</f>
        <v>8977.231882102642</v>
      </c>
      <c r="AP547" s="270">
        <f>AL547/AG547</f>
        <v>9005.3287519844362</v>
      </c>
      <c r="AQ547" s="270">
        <f>AM547/AH547</f>
        <v>8977.231882102642</v>
      </c>
    </row>
    <row r="548" spans="32:43" x14ac:dyDescent="0.2">
      <c r="AF548" s="271" t="str">
        <f>AF517</f>
        <v>GS&lt;50</v>
      </c>
      <c r="AG548" s="266">
        <f>AH517</f>
        <v>1221</v>
      </c>
      <c r="AH548" s="266">
        <f>V344</f>
        <v>1237.0605612126985</v>
      </c>
      <c r="AI548" s="270" t="str">
        <f t="shared" ref="AI548:AI553" si="222">AI526</f>
        <v>kWh</v>
      </c>
      <c r="AJ548" s="266">
        <f>AK517</f>
        <v>28622003</v>
      </c>
      <c r="AK548" s="266">
        <f>V345</f>
        <v>29223413.333587732</v>
      </c>
      <c r="AL548" s="270">
        <f t="shared" ref="AL548:AL553" si="223">AJ548*$AL$545</f>
        <v>29020327.354160704</v>
      </c>
      <c r="AM548" s="266">
        <f t="shared" ref="AM548:AM553" si="224">AK548*$AM$545</f>
        <v>29223413.333587732</v>
      </c>
      <c r="AN548" s="270">
        <f t="shared" ref="AN548:AO550" si="225">AJ548/AG548</f>
        <v>23441.4438984439</v>
      </c>
      <c r="AO548" s="270">
        <f t="shared" si="225"/>
        <v>23623.268132434703</v>
      </c>
      <c r="AP548" s="270">
        <f t="shared" ref="AP548:AQ550" si="226">AL548/AG548</f>
        <v>23767.671870729486</v>
      </c>
      <c r="AQ548" s="270">
        <f>AM548/AH548</f>
        <v>23623.268132434703</v>
      </c>
    </row>
    <row r="549" spans="32:43" x14ac:dyDescent="0.2">
      <c r="AF549" s="271" t="str">
        <f>AF518</f>
        <v>GS&gt;50</v>
      </c>
      <c r="AG549" s="266">
        <f>AH518</f>
        <v>92.5</v>
      </c>
      <c r="AH549" s="266">
        <f>V348</f>
        <v>92.5</v>
      </c>
      <c r="AI549" s="270" t="str">
        <f t="shared" si="222"/>
        <v>kW</v>
      </c>
      <c r="AJ549" s="266">
        <f>AK518</f>
        <v>195328</v>
      </c>
      <c r="AK549" s="266">
        <f>V350</f>
        <v>192808.33579213487</v>
      </c>
      <c r="AL549" s="270">
        <f t="shared" si="223"/>
        <v>198046.32476048241</v>
      </c>
      <c r="AM549" s="266">
        <f t="shared" si="224"/>
        <v>192808.33579213487</v>
      </c>
      <c r="AN549" s="270">
        <f t="shared" si="225"/>
        <v>2111.6540540540541</v>
      </c>
      <c r="AO549" s="270">
        <f t="shared" si="225"/>
        <v>2084.4144409960527</v>
      </c>
      <c r="AP549" s="270">
        <f t="shared" si="226"/>
        <v>2141.0413487619721</v>
      </c>
      <c r="AQ549" s="270">
        <f t="shared" si="226"/>
        <v>2084.4144409960527</v>
      </c>
    </row>
    <row r="550" spans="32:43" x14ac:dyDescent="0.2">
      <c r="AF550" s="271" t="str">
        <f>AF519</f>
        <v>Street Lights</v>
      </c>
      <c r="AG550" s="266">
        <f>AH519</f>
        <v>2825.5</v>
      </c>
      <c r="AH550" s="266">
        <f>V353</f>
        <v>2825.5</v>
      </c>
      <c r="AI550" s="270" t="str">
        <f t="shared" si="222"/>
        <v>kW</v>
      </c>
      <c r="AJ550" s="266">
        <f>AK519</f>
        <v>6398</v>
      </c>
      <c r="AK550" s="266">
        <f>V355</f>
        <v>6459.7804117359783</v>
      </c>
      <c r="AL550" s="270">
        <f t="shared" si="223"/>
        <v>6487.0391639578893</v>
      </c>
      <c r="AM550" s="266">
        <f t="shared" si="224"/>
        <v>6459.7804117359783</v>
      </c>
      <c r="AN550" s="270">
        <f t="shared" si="225"/>
        <v>2.2643779861971334</v>
      </c>
      <c r="AO550" s="270">
        <f>AK550/AH550</f>
        <v>2.2862432885280404</v>
      </c>
      <c r="AP550" s="270">
        <f t="shared" si="226"/>
        <v>2.2958906968529074</v>
      </c>
      <c r="AQ550" s="270">
        <f t="shared" si="226"/>
        <v>2.2862432885280404</v>
      </c>
    </row>
    <row r="551" spans="32:43" x14ac:dyDescent="0.2">
      <c r="AF551" s="271" t="str">
        <f t="shared" ref="AF551:AF552" si="227">AF520</f>
        <v>Unmetered Scattered Load</v>
      </c>
      <c r="AG551" s="266">
        <f t="shared" ref="AG551:AG553" si="228">AH520</f>
        <v>31</v>
      </c>
      <c r="AH551" s="266">
        <f>V358</f>
        <v>31</v>
      </c>
      <c r="AI551" s="270" t="str">
        <f t="shared" si="222"/>
        <v>kWh</v>
      </c>
      <c r="AJ551" s="266">
        <f t="shared" ref="AJ551:AJ553" si="229">AK520</f>
        <v>259607</v>
      </c>
      <c r="AK551" s="266">
        <f>V359</f>
        <v>262206.68799682555</v>
      </c>
      <c r="AL551" s="270">
        <f t="shared" si="223"/>
        <v>263219.87749884586</v>
      </c>
      <c r="AM551" s="266">
        <f t="shared" si="224"/>
        <v>262206.68799682555</v>
      </c>
      <c r="AN551" s="270">
        <f t="shared" ref="AN551:AN553" si="230">AJ551/AG551</f>
        <v>8374.4193548387102</v>
      </c>
      <c r="AO551" s="270">
        <f t="shared" ref="AO551:AO553" si="231">AK551/AH551</f>
        <v>8458.2802579621148</v>
      </c>
      <c r="AP551" s="270">
        <f t="shared" ref="AP551:AP553" si="232">AL551/AG551</f>
        <v>8490.9637902853501</v>
      </c>
      <c r="AQ551" s="270">
        <f t="shared" ref="AQ551:AQ553" si="233">AM551/AH551</f>
        <v>8458.2802579621148</v>
      </c>
    </row>
    <row r="552" spans="32:43" x14ac:dyDescent="0.2">
      <c r="AF552" s="271" t="str">
        <f t="shared" si="227"/>
        <v>Sentinel Lights</v>
      </c>
      <c r="AG552" s="266">
        <f t="shared" si="228"/>
        <v>7</v>
      </c>
      <c r="AH552" s="266">
        <f>V362</f>
        <v>7</v>
      </c>
      <c r="AI552" s="270" t="str">
        <f t="shared" si="222"/>
        <v>kW</v>
      </c>
      <c r="AJ552" s="266">
        <f t="shared" si="229"/>
        <v>14</v>
      </c>
      <c r="AK552" s="266">
        <f>V3678</f>
        <v>0</v>
      </c>
      <c r="AL552" s="270">
        <f t="shared" si="223"/>
        <v>14.194834056800632</v>
      </c>
      <c r="AM552" s="266">
        <f t="shared" si="224"/>
        <v>0</v>
      </c>
      <c r="AN552" s="270">
        <f t="shared" si="230"/>
        <v>2</v>
      </c>
      <c r="AO552" s="270">
        <f t="shared" si="231"/>
        <v>0</v>
      </c>
      <c r="AP552" s="270">
        <f t="shared" si="232"/>
        <v>2.0278334366858046</v>
      </c>
      <c r="AQ552" s="270">
        <f t="shared" si="233"/>
        <v>0</v>
      </c>
    </row>
    <row r="553" spans="32:43" x14ac:dyDescent="0.2">
      <c r="AF553" s="271" t="str">
        <f>AF522</f>
        <v>Embedded Distributor</v>
      </c>
      <c r="AG553" s="266">
        <f t="shared" si="228"/>
        <v>4</v>
      </c>
      <c r="AH553" s="266">
        <f>V367</f>
        <v>4</v>
      </c>
      <c r="AI553" s="270" t="str">
        <f t="shared" si="222"/>
        <v>kW</v>
      </c>
      <c r="AJ553" s="266">
        <f t="shared" si="229"/>
        <v>105467.49</v>
      </c>
      <c r="AK553" s="266">
        <f>V369</f>
        <v>100002.37884363059</v>
      </c>
      <c r="AL553" s="270">
        <f t="shared" si="223"/>
        <v>106935.25135266288</v>
      </c>
      <c r="AM553" s="266">
        <f t="shared" si="224"/>
        <v>100002.37884363059</v>
      </c>
      <c r="AN553" s="270">
        <f t="shared" si="230"/>
        <v>26366.872500000001</v>
      </c>
      <c r="AO553" s="270">
        <f t="shared" si="231"/>
        <v>25000.594710907648</v>
      </c>
      <c r="AP553" s="270">
        <f t="shared" si="232"/>
        <v>26733.812838165719</v>
      </c>
      <c r="AQ553" s="270">
        <f t="shared" si="233"/>
        <v>25000.594710907648</v>
      </c>
    </row>
    <row r="554" spans="32:43" x14ac:dyDescent="0.2">
      <c r="AF554" s="271" t="s">
        <v>11</v>
      </c>
      <c r="AG554" s="266">
        <f>SUM(AG547:AG553)</f>
        <v>14398.5</v>
      </c>
      <c r="AH554" s="266">
        <f>SUM(AH547:AH553)</f>
        <v>14498.66364280555</v>
      </c>
      <c r="AI554" s="270"/>
      <c r="AJ554" s="281"/>
      <c r="AK554" s="281"/>
      <c r="AL554" s="281"/>
      <c r="AM554" s="281"/>
      <c r="AN554" s="281"/>
      <c r="AO554" s="281"/>
      <c r="AP554" s="281"/>
      <c r="AQ554" s="281"/>
    </row>
    <row r="555" spans="32:43" x14ac:dyDescent="0.2">
      <c r="AF555" s="179"/>
      <c r="AG555" s="353" t="s">
        <v>274</v>
      </c>
      <c r="AH555" s="353"/>
      <c r="AI555" s="179"/>
      <c r="AJ555" s="353" t="s">
        <v>274</v>
      </c>
      <c r="AK555" s="353"/>
      <c r="AL555" s="353" t="s">
        <v>274</v>
      </c>
      <c r="AM555" s="353"/>
      <c r="AN555" s="353" t="s">
        <v>274</v>
      </c>
      <c r="AO555" s="353"/>
      <c r="AP555" s="353" t="s">
        <v>274</v>
      </c>
      <c r="AQ555" s="353"/>
    </row>
    <row r="556" spans="32:43" x14ac:dyDescent="0.2">
      <c r="AF556" s="282" t="str">
        <f>AF547</f>
        <v>Residential</v>
      </c>
      <c r="AG556" s="346">
        <f>AH547-AG547</f>
        <v>84.103081592851595</v>
      </c>
      <c r="AH556" s="347"/>
      <c r="AI556" s="270" t="str">
        <f>AI547</f>
        <v>kWh</v>
      </c>
      <c r="AJ556" s="346">
        <f>AK547-AJ547</f>
        <v>1730861.6208421737</v>
      </c>
      <c r="AK556" s="347"/>
      <c r="AL556" s="346">
        <f>AM547-AL547</f>
        <v>467933.09744119644</v>
      </c>
      <c r="AM556" s="347"/>
      <c r="AN556" s="346">
        <f>AO547-AN547</f>
        <v>95.507585552604723</v>
      </c>
      <c r="AO556" s="347"/>
      <c r="AP556" s="346">
        <f>AQ547-AP547</f>
        <v>-28.096869881794191</v>
      </c>
      <c r="AQ556" s="347"/>
    </row>
    <row r="557" spans="32:43" x14ac:dyDescent="0.2">
      <c r="AF557" s="282" t="str">
        <f>AF548</f>
        <v>GS&lt;50</v>
      </c>
      <c r="AG557" s="346">
        <f>AH548-AG548</f>
        <v>16.060561212698531</v>
      </c>
      <c r="AH557" s="347"/>
      <c r="AI557" s="270" t="str">
        <f t="shared" ref="AI557:AI562" si="234">AI548</f>
        <v>kWh</v>
      </c>
      <c r="AJ557" s="346">
        <f>AK548-AJ548</f>
        <v>601410.33358773217</v>
      </c>
      <c r="AK557" s="347"/>
      <c r="AL557" s="346">
        <f>AM548-AL548</f>
        <v>203085.97942702845</v>
      </c>
      <c r="AM557" s="347"/>
      <c r="AN557" s="346">
        <f>AO548-AN548</f>
        <v>181.8242339908029</v>
      </c>
      <c r="AO557" s="347"/>
      <c r="AP557" s="346">
        <f>AQ548-AP548</f>
        <v>-144.40373829478267</v>
      </c>
      <c r="AQ557" s="347"/>
    </row>
    <row r="558" spans="32:43" x14ac:dyDescent="0.2">
      <c r="AF558" s="282" t="str">
        <f>AF549</f>
        <v>GS&gt;50</v>
      </c>
      <c r="AG558" s="346">
        <f>AH549-AG549</f>
        <v>0</v>
      </c>
      <c r="AH558" s="347"/>
      <c r="AI558" s="270" t="str">
        <f t="shared" si="234"/>
        <v>kW</v>
      </c>
      <c r="AJ558" s="346">
        <f>AK549-AJ549</f>
        <v>-2519.6642078651348</v>
      </c>
      <c r="AK558" s="347"/>
      <c r="AL558" s="346">
        <f>AM549-AL549</f>
        <v>-5237.9889683475485</v>
      </c>
      <c r="AM558" s="347"/>
      <c r="AN558" s="346">
        <f>AO549-AN549</f>
        <v>-27.239613058001396</v>
      </c>
      <c r="AO558" s="347"/>
      <c r="AP558" s="346">
        <f>AQ549-AP549</f>
        <v>-56.626907765919441</v>
      </c>
      <c r="AQ558" s="347"/>
    </row>
    <row r="559" spans="32:43" x14ac:dyDescent="0.2">
      <c r="AF559" s="282" t="str">
        <f>AF550</f>
        <v>Street Lights</v>
      </c>
      <c r="AG559" s="346">
        <f>AH550-AG550</f>
        <v>0</v>
      </c>
      <c r="AH559" s="347"/>
      <c r="AI559" s="270" t="str">
        <f t="shared" si="234"/>
        <v>kW</v>
      </c>
      <c r="AJ559" s="346">
        <f>AK550-AJ550</f>
        <v>61.780411735978305</v>
      </c>
      <c r="AK559" s="347"/>
      <c r="AL559" s="346">
        <f>AM550-AL550</f>
        <v>-27.258752221910981</v>
      </c>
      <c r="AM559" s="347"/>
      <c r="AN559" s="346">
        <f>AO550-AN550</f>
        <v>2.1865302330906999E-2</v>
      </c>
      <c r="AO559" s="347"/>
      <c r="AP559" s="346">
        <f>AQ550-AP550</f>
        <v>-9.6474083248669906E-3</v>
      </c>
      <c r="AQ559" s="347"/>
    </row>
    <row r="560" spans="32:43" x14ac:dyDescent="0.2">
      <c r="AF560" s="282" t="str">
        <f t="shared" ref="AF560:AF562" si="235">AF551</f>
        <v>Unmetered Scattered Load</v>
      </c>
      <c r="AG560" s="346">
        <f t="shared" ref="AG560:AG562" si="236">AH551-AG551</f>
        <v>0</v>
      </c>
      <c r="AH560" s="347"/>
      <c r="AI560" s="270" t="str">
        <f t="shared" si="234"/>
        <v>kWh</v>
      </c>
      <c r="AJ560" s="346">
        <f t="shared" ref="AJ560:AJ562" si="237">AK551-AJ551</f>
        <v>2599.6879968255525</v>
      </c>
      <c r="AK560" s="347"/>
      <c r="AL560" s="346">
        <f t="shared" ref="AL560:AL562" si="238">AM551-AL551</f>
        <v>-1013.1895020203083</v>
      </c>
      <c r="AM560" s="347"/>
      <c r="AN560" s="346">
        <f t="shared" ref="AN560:AN562" si="239">AO551-AN551</f>
        <v>83.860903123404569</v>
      </c>
      <c r="AO560" s="347"/>
      <c r="AP560" s="346">
        <f t="shared" ref="AP560:AP562" si="240">AQ551-AP551</f>
        <v>-32.68353232323534</v>
      </c>
      <c r="AQ560" s="347"/>
    </row>
    <row r="561" spans="27:43" x14ac:dyDescent="0.2">
      <c r="AF561" s="282" t="str">
        <f t="shared" si="235"/>
        <v>Sentinel Lights</v>
      </c>
      <c r="AG561" s="346">
        <f t="shared" si="236"/>
        <v>0</v>
      </c>
      <c r="AH561" s="347"/>
      <c r="AI561" s="270" t="str">
        <f t="shared" si="234"/>
        <v>kW</v>
      </c>
      <c r="AJ561" s="346">
        <f t="shared" si="237"/>
        <v>-14</v>
      </c>
      <c r="AK561" s="347"/>
      <c r="AL561" s="346">
        <f t="shared" si="238"/>
        <v>-14.194834056800632</v>
      </c>
      <c r="AM561" s="347"/>
      <c r="AN561" s="346">
        <f t="shared" si="239"/>
        <v>-2</v>
      </c>
      <c r="AO561" s="347"/>
      <c r="AP561" s="346">
        <f t="shared" si="240"/>
        <v>-2.0278334366858046</v>
      </c>
      <c r="AQ561" s="347"/>
    </row>
    <row r="562" spans="27:43" x14ac:dyDescent="0.2">
      <c r="AF562" s="282" t="str">
        <f t="shared" si="235"/>
        <v>Embedded Distributor</v>
      </c>
      <c r="AG562" s="346">
        <f t="shared" si="236"/>
        <v>0</v>
      </c>
      <c r="AH562" s="347"/>
      <c r="AI562" s="270" t="str">
        <f t="shared" si="234"/>
        <v>kW</v>
      </c>
      <c r="AJ562" s="346">
        <f t="shared" si="237"/>
        <v>-5465.1111563694139</v>
      </c>
      <c r="AK562" s="347"/>
      <c r="AL562" s="346">
        <f t="shared" si="238"/>
        <v>-6932.8725090322841</v>
      </c>
      <c r="AM562" s="347"/>
      <c r="AN562" s="346">
        <f t="shared" si="239"/>
        <v>-1366.2777890923535</v>
      </c>
      <c r="AO562" s="347"/>
      <c r="AP562" s="346">
        <f t="shared" si="240"/>
        <v>-1733.218127258071</v>
      </c>
      <c r="AQ562" s="347"/>
    </row>
    <row r="563" spans="27:43" x14ac:dyDescent="0.2">
      <c r="AA563" s="251" t="s">
        <v>285</v>
      </c>
      <c r="AB563" s="251"/>
      <c r="AC563" s="251"/>
      <c r="AD563" s="227"/>
      <c r="AE563" s="227"/>
    </row>
    <row r="564" spans="27:43" ht="25.5" x14ac:dyDescent="0.2">
      <c r="AA564" s="269" t="s">
        <v>260</v>
      </c>
      <c r="AB564" s="270" t="str">
        <f>AC533</f>
        <v>2016
Bridge</v>
      </c>
      <c r="AC564" s="270" t="s">
        <v>251</v>
      </c>
      <c r="AD564" s="270" t="s">
        <v>262</v>
      </c>
      <c r="AE564" s="270" t="s">
        <v>263</v>
      </c>
    </row>
    <row r="565" spans="27:43" x14ac:dyDescent="0.2">
      <c r="AA565" s="271" t="str">
        <f>AA534</f>
        <v>Residential</v>
      </c>
      <c r="AB565" s="272">
        <f>AC534</f>
        <v>2221219.6825808138</v>
      </c>
      <c r="AC565" s="272">
        <f>X5</f>
        <v>2652608.397151059</v>
      </c>
      <c r="AD565" s="272">
        <f>AC565-AB565</f>
        <v>431388.71457024524</v>
      </c>
      <c r="AE565" s="273">
        <f>AD565/AB565</f>
        <v>0.19421253915282205</v>
      </c>
    </row>
    <row r="566" spans="27:43" x14ac:dyDescent="0.2">
      <c r="AA566" s="271" t="str">
        <f t="shared" ref="AA566:AA571" si="241">AA535</f>
        <v>GS&lt;50</v>
      </c>
      <c r="AB566" s="272">
        <f t="shared" ref="AB566:AB571" si="242">AC535</f>
        <v>380218.40727182978</v>
      </c>
      <c r="AC566" s="272">
        <f t="shared" ref="AC566:AC571" si="243">X6</f>
        <v>564424.28282827383</v>
      </c>
      <c r="AD566" s="272">
        <f t="shared" ref="AD566:AD571" si="244">AC566-AB566</f>
        <v>184205.87555644405</v>
      </c>
      <c r="AE566" s="273">
        <f t="shared" ref="AE566:AE571" si="245">AD566/AB566</f>
        <v>0.484473849854275</v>
      </c>
    </row>
    <row r="567" spans="27:43" x14ac:dyDescent="0.2">
      <c r="AA567" s="271" t="str">
        <f t="shared" si="241"/>
        <v>GS&gt;50</v>
      </c>
      <c r="AB567" s="272">
        <f t="shared" si="242"/>
        <v>512805.45305821195</v>
      </c>
      <c r="AC567" s="272">
        <f t="shared" si="243"/>
        <v>602776.52863058529</v>
      </c>
      <c r="AD567" s="272">
        <f t="shared" si="244"/>
        <v>89971.075572373345</v>
      </c>
      <c r="AE567" s="273">
        <f t="shared" si="245"/>
        <v>0.17544874968823729</v>
      </c>
    </row>
    <row r="568" spans="27:43" x14ac:dyDescent="0.2">
      <c r="AA568" s="271" t="str">
        <f t="shared" si="241"/>
        <v>Street Lights</v>
      </c>
      <c r="AB568" s="272">
        <f t="shared" si="242"/>
        <v>345.37720000000002</v>
      </c>
      <c r="AC568" s="272">
        <f t="shared" si="243"/>
        <v>509.90936922293639</v>
      </c>
      <c r="AD568" s="272">
        <f t="shared" si="244"/>
        <v>164.53216922293637</v>
      </c>
      <c r="AE568" s="273">
        <f t="shared" si="245"/>
        <v>0.47638399182961805</v>
      </c>
    </row>
    <row r="569" spans="27:43" x14ac:dyDescent="0.2">
      <c r="AA569" s="271" t="str">
        <f t="shared" si="241"/>
        <v>Unmetered Scattered Load</v>
      </c>
      <c r="AB569" s="272">
        <f t="shared" si="242"/>
        <v>113557.63432747728</v>
      </c>
      <c r="AC569" s="272">
        <f t="shared" si="243"/>
        <v>98326.42658503697</v>
      </c>
      <c r="AD569" s="272">
        <f t="shared" si="244"/>
        <v>-15231.207742440311</v>
      </c>
      <c r="AE569" s="273">
        <f t="shared" si="245"/>
        <v>-0.13412755410628391</v>
      </c>
    </row>
    <row r="570" spans="27:43" x14ac:dyDescent="0.2">
      <c r="AA570" s="271" t="str">
        <f t="shared" si="241"/>
        <v>Sentinel Lights</v>
      </c>
      <c r="AB570" s="272">
        <f t="shared" si="242"/>
        <v>2882.7127071939685</v>
      </c>
      <c r="AC570" s="272">
        <f t="shared" si="243"/>
        <v>4435.0145771481475</v>
      </c>
      <c r="AD570" s="272">
        <f t="shared" si="244"/>
        <v>1552.301869954179</v>
      </c>
      <c r="AE570" s="273">
        <f t="shared" si="245"/>
        <v>0.53848649783251867</v>
      </c>
    </row>
    <row r="571" spans="27:43" x14ac:dyDescent="0.2">
      <c r="AA571" s="271" t="str">
        <f t="shared" si="241"/>
        <v>Embedded Distributor</v>
      </c>
      <c r="AB571" s="272">
        <f t="shared" si="242"/>
        <v>116294.81441988278</v>
      </c>
      <c r="AC571" s="272">
        <f t="shared" si="243"/>
        <v>58475.887445084678</v>
      </c>
      <c r="AD571" s="272">
        <f t="shared" si="244"/>
        <v>-57818.926974798102</v>
      </c>
      <c r="AE571" s="273">
        <f t="shared" si="245"/>
        <v>-0.49717545243283756</v>
      </c>
    </row>
    <row r="572" spans="27:43" x14ac:dyDescent="0.2">
      <c r="AA572" s="274" t="s">
        <v>17</v>
      </c>
      <c r="AB572" s="272">
        <f>SUM(AB565:AB571)</f>
        <v>3347324.0815654099</v>
      </c>
      <c r="AC572" s="272">
        <f>SUM(AC565:AC571)</f>
        <v>3981556.4465864105</v>
      </c>
      <c r="AD572" s="272">
        <f t="shared" ref="AD572" si="246">AC572-AB572</f>
        <v>634232.36502100062</v>
      </c>
      <c r="AE572" s="273">
        <f t="shared" ref="AE572" si="247">AD572/AB572</f>
        <v>0.18947444273886843</v>
      </c>
    </row>
    <row r="574" spans="27:43" x14ac:dyDescent="0.2">
      <c r="AF574" s="251" t="s">
        <v>286</v>
      </c>
      <c r="AG574" s="251"/>
      <c r="AH574" s="251"/>
      <c r="AI574" s="227"/>
      <c r="AJ574" s="275"/>
    </row>
    <row r="575" spans="27:43" x14ac:dyDescent="0.2">
      <c r="AF575" s="276" t="s">
        <v>265</v>
      </c>
      <c r="AG575" s="354" t="s">
        <v>266</v>
      </c>
      <c r="AH575" s="354"/>
      <c r="AI575" s="189" t="s">
        <v>267</v>
      </c>
      <c r="AJ575" s="355" t="s">
        <v>268</v>
      </c>
      <c r="AK575" s="355"/>
      <c r="AL575" s="356" t="s">
        <v>269</v>
      </c>
      <c r="AM575" s="356"/>
      <c r="AN575" s="356" t="s">
        <v>270</v>
      </c>
      <c r="AO575" s="356"/>
      <c r="AP575" s="356" t="s">
        <v>271</v>
      </c>
      <c r="AQ575" s="356"/>
    </row>
    <row r="576" spans="27:43" x14ac:dyDescent="0.2">
      <c r="AF576" s="348" t="str">
        <f>AF545</f>
        <v>Weather 
Normal Conversion 
Factor</v>
      </c>
      <c r="AG576" s="349"/>
      <c r="AH576" s="349"/>
      <c r="AI576" s="349"/>
      <c r="AJ576" s="349"/>
      <c r="AK576" s="350"/>
      <c r="AL576" s="277">
        <f>AM545</f>
        <v>1</v>
      </c>
      <c r="AM576" s="277">
        <v>1</v>
      </c>
      <c r="AN576" s="351"/>
      <c r="AO576" s="352"/>
      <c r="AP576" s="351"/>
      <c r="AQ576" s="352"/>
    </row>
    <row r="577" spans="32:43" ht="25.5" x14ac:dyDescent="0.2">
      <c r="AF577" s="279"/>
      <c r="AG577" s="180" t="str">
        <f>AB564</f>
        <v>2016
Bridge</v>
      </c>
      <c r="AH577" s="180" t="str">
        <f>AC564</f>
        <v>2017
Test</v>
      </c>
      <c r="AI577" s="280"/>
      <c r="AJ577" s="180" t="str">
        <f>AG577</f>
        <v>2016
Bridge</v>
      </c>
      <c r="AK577" s="180" t="str">
        <f>AH577</f>
        <v>2017
Test</v>
      </c>
      <c r="AL577" s="180" t="str">
        <f>AJ577</f>
        <v>2016
Bridge</v>
      </c>
      <c r="AM577" s="180" t="str">
        <f>AK577</f>
        <v>2017
Test</v>
      </c>
      <c r="AN577" s="180" t="str">
        <f>AJ577</f>
        <v>2016
Bridge</v>
      </c>
      <c r="AO577" s="180" t="str">
        <f>AK577</f>
        <v>2017
Test</v>
      </c>
      <c r="AP577" s="180" t="str">
        <f>AL577</f>
        <v>2016
Bridge</v>
      </c>
      <c r="AQ577" s="180" t="str">
        <f>AM577</f>
        <v>2017
Test</v>
      </c>
    </row>
    <row r="578" spans="32:43" x14ac:dyDescent="0.2">
      <c r="AF578" s="271" t="str">
        <f>AF547</f>
        <v>Residential</v>
      </c>
      <c r="AG578" s="266">
        <f>AH547</f>
        <v>10301.603081592852</v>
      </c>
      <c r="AH578" s="266">
        <f>W340</f>
        <v>10386.398439019657</v>
      </c>
      <c r="AI578" s="270" t="str">
        <f>AI556</f>
        <v>kWh</v>
      </c>
      <c r="AJ578" s="266">
        <f>AK547</f>
        <v>92479879.620842174</v>
      </c>
      <c r="AK578" s="266">
        <f>W341</f>
        <v>92079767.015226617</v>
      </c>
      <c r="AL578" s="270">
        <f>AJ578*$AL$576</f>
        <v>92479879.620842174</v>
      </c>
      <c r="AM578" s="266">
        <f>AK578*$AM$576</f>
        <v>92079767.015226617</v>
      </c>
      <c r="AN578" s="270">
        <f>AJ578/AG578</f>
        <v>8977.231882102642</v>
      </c>
      <c r="AO578" s="270">
        <f>AK578/AH578</f>
        <v>8865.4183214559762</v>
      </c>
      <c r="AP578" s="270">
        <f>AL578/AG578</f>
        <v>8977.231882102642</v>
      </c>
      <c r="AQ578" s="270">
        <f>AM578/AH578</f>
        <v>8865.4183214559762</v>
      </c>
    </row>
    <row r="579" spans="32:43" x14ac:dyDescent="0.2">
      <c r="AF579" s="271" t="str">
        <f t="shared" ref="AF579:AF584" si="248">AF548</f>
        <v>GS&lt;50</v>
      </c>
      <c r="AG579" s="266">
        <f>AH548</f>
        <v>1237.0605612126985</v>
      </c>
      <c r="AH579" s="266">
        <f>W344</f>
        <v>1253.3323768287278</v>
      </c>
      <c r="AI579" s="270" t="str">
        <f t="shared" ref="AI579:AI584" si="249">AI557</f>
        <v>kWh</v>
      </c>
      <c r="AJ579" s="266">
        <f>AK548</f>
        <v>29223413.333587732</v>
      </c>
      <c r="AK579" s="266">
        <f>W345</f>
        <v>29137273.513669658</v>
      </c>
      <c r="AL579" s="270">
        <f t="shared" ref="AL579:AL584" si="250">AJ579*$AL$576</f>
        <v>29223413.333587732</v>
      </c>
      <c r="AM579" s="266">
        <f t="shared" ref="AM579:AM584" si="251">AK579*$AM$576</f>
        <v>29137273.513669658</v>
      </c>
      <c r="AN579" s="270">
        <f t="shared" ref="AN579:AO581" si="252">AJ579/AG579</f>
        <v>23623.268132434703</v>
      </c>
      <c r="AO579" s="270">
        <f t="shared" si="252"/>
        <v>23247.842353993037</v>
      </c>
      <c r="AP579" s="270">
        <f t="shared" ref="AP579:AQ581" si="253">AL579/AG579</f>
        <v>23623.268132434703</v>
      </c>
      <c r="AQ579" s="270">
        <f>AM579/AH579</f>
        <v>23247.842353993037</v>
      </c>
    </row>
    <row r="580" spans="32:43" x14ac:dyDescent="0.2">
      <c r="AF580" s="271" t="str">
        <f t="shared" si="248"/>
        <v>GS&gt;50</v>
      </c>
      <c r="AG580" s="266">
        <f>AH549</f>
        <v>92.5</v>
      </c>
      <c r="AH580" s="266">
        <f>W348</f>
        <v>92.5</v>
      </c>
      <c r="AI580" s="270" t="str">
        <f t="shared" si="249"/>
        <v>kW</v>
      </c>
      <c r="AJ580" s="266">
        <f>AK549</f>
        <v>192808.33579213487</v>
      </c>
      <c r="AK580" s="266">
        <f>W350</f>
        <v>188540.28594360882</v>
      </c>
      <c r="AL580" s="270">
        <f t="shared" si="250"/>
        <v>192808.33579213487</v>
      </c>
      <c r="AM580" s="266">
        <f t="shared" si="251"/>
        <v>188540.28594360882</v>
      </c>
      <c r="AN580" s="270">
        <f t="shared" si="252"/>
        <v>2084.4144409960527</v>
      </c>
      <c r="AO580" s="270">
        <f t="shared" si="252"/>
        <v>2038.2733615525278</v>
      </c>
      <c r="AP580" s="270">
        <f t="shared" si="253"/>
        <v>2084.4144409960527</v>
      </c>
      <c r="AQ580" s="270">
        <f t="shared" si="253"/>
        <v>2038.2733615525278</v>
      </c>
    </row>
    <row r="581" spans="32:43" x14ac:dyDescent="0.2">
      <c r="AF581" s="271" t="str">
        <f t="shared" si="248"/>
        <v>Street Lights</v>
      </c>
      <c r="AG581" s="266">
        <f>AH550</f>
        <v>2825.5</v>
      </c>
      <c r="AH581" s="266">
        <f>W353</f>
        <v>2825.5</v>
      </c>
      <c r="AI581" s="270" t="str">
        <f t="shared" si="249"/>
        <v>kW</v>
      </c>
      <c r="AJ581" s="266">
        <f>AK550</f>
        <v>6459.7804117359783</v>
      </c>
      <c r="AK581" s="266">
        <f>W355</f>
        <v>6475.806079905381</v>
      </c>
      <c r="AL581" s="270">
        <f t="shared" si="250"/>
        <v>6459.7804117359783</v>
      </c>
      <c r="AM581" s="266">
        <f t="shared" si="251"/>
        <v>6475.806079905381</v>
      </c>
      <c r="AN581" s="270">
        <f t="shared" si="252"/>
        <v>2.2862432885280404</v>
      </c>
      <c r="AO581" s="270">
        <f>AK581/AH581</f>
        <v>2.2919150875616285</v>
      </c>
      <c r="AP581" s="270">
        <f t="shared" si="253"/>
        <v>2.2862432885280404</v>
      </c>
      <c r="AQ581" s="270">
        <f t="shared" si="253"/>
        <v>2.2919150875616285</v>
      </c>
    </row>
    <row r="582" spans="32:43" x14ac:dyDescent="0.2">
      <c r="AF582" s="271" t="str">
        <f t="shared" si="248"/>
        <v>Unmetered Scattered Load</v>
      </c>
      <c r="AG582" s="266">
        <f t="shared" ref="AG582:AG584" si="254">AH551</f>
        <v>31</v>
      </c>
      <c r="AH582" s="266">
        <f>W358</f>
        <v>31</v>
      </c>
      <c r="AI582" s="270" t="str">
        <f t="shared" si="249"/>
        <v>kWh</v>
      </c>
      <c r="AJ582" s="266">
        <f t="shared" ref="AJ582:AJ584" si="255">AK551</f>
        <v>262206.68799682555</v>
      </c>
      <c r="AK582" s="266">
        <f>W359</f>
        <v>264832.40910400957</v>
      </c>
      <c r="AL582" s="270">
        <f t="shared" si="250"/>
        <v>262206.68799682555</v>
      </c>
      <c r="AM582" s="266">
        <f t="shared" si="251"/>
        <v>264832.40910400957</v>
      </c>
      <c r="AN582" s="270">
        <f t="shared" ref="AN582:AN584" si="256">AJ582/AG582</f>
        <v>8458.2802579621148</v>
      </c>
      <c r="AO582" s="270">
        <f t="shared" ref="AO582:AO584" si="257">AK582/AH582</f>
        <v>8542.9809388390186</v>
      </c>
      <c r="AP582" s="270">
        <f t="shared" ref="AP582:AP584" si="258">AL582/AG582</f>
        <v>8458.2802579621148</v>
      </c>
      <c r="AQ582" s="270">
        <f t="shared" ref="AQ582:AQ584" si="259">AM582/AH582</f>
        <v>8542.9809388390186</v>
      </c>
    </row>
    <row r="583" spans="32:43" x14ac:dyDescent="0.2">
      <c r="AF583" s="271" t="str">
        <f t="shared" si="248"/>
        <v>Sentinel Lights</v>
      </c>
      <c r="AG583" s="266">
        <f t="shared" si="254"/>
        <v>7</v>
      </c>
      <c r="AH583" s="266">
        <f>W362</f>
        <v>7</v>
      </c>
      <c r="AI583" s="270" t="str">
        <f t="shared" si="249"/>
        <v>kW</v>
      </c>
      <c r="AJ583" s="266">
        <f t="shared" si="255"/>
        <v>0</v>
      </c>
      <c r="AK583" s="266">
        <f>W364</f>
        <v>14</v>
      </c>
      <c r="AL583" s="270">
        <f t="shared" si="250"/>
        <v>0</v>
      </c>
      <c r="AM583" s="266">
        <f t="shared" si="251"/>
        <v>14</v>
      </c>
      <c r="AN583" s="270">
        <f t="shared" si="256"/>
        <v>0</v>
      </c>
      <c r="AO583" s="270">
        <f t="shared" si="257"/>
        <v>2</v>
      </c>
      <c r="AP583" s="270">
        <f t="shared" si="258"/>
        <v>0</v>
      </c>
      <c r="AQ583" s="270">
        <f t="shared" si="259"/>
        <v>2</v>
      </c>
    </row>
    <row r="584" spans="32:43" x14ac:dyDescent="0.2">
      <c r="AF584" s="271" t="str">
        <f t="shared" si="248"/>
        <v>Embedded Distributor</v>
      </c>
      <c r="AG584" s="266">
        <f t="shared" si="254"/>
        <v>4</v>
      </c>
      <c r="AH584" s="266">
        <f>W367</f>
        <v>4</v>
      </c>
      <c r="AI584" s="270" t="str">
        <f t="shared" si="249"/>
        <v>kW</v>
      </c>
      <c r="AJ584" s="266">
        <f t="shared" si="255"/>
        <v>100002.37884363059</v>
      </c>
      <c r="AK584" s="266">
        <f>W369</f>
        <v>96786.246525642244</v>
      </c>
      <c r="AL584" s="270">
        <f t="shared" si="250"/>
        <v>100002.37884363059</v>
      </c>
      <c r="AM584" s="266">
        <f t="shared" si="251"/>
        <v>96786.246525642244</v>
      </c>
      <c r="AN584" s="270">
        <f t="shared" si="256"/>
        <v>25000.594710907648</v>
      </c>
      <c r="AO584" s="270">
        <f t="shared" si="257"/>
        <v>24196.561631410561</v>
      </c>
      <c r="AP584" s="270">
        <f t="shared" si="258"/>
        <v>25000.594710907648</v>
      </c>
      <c r="AQ584" s="270">
        <f t="shared" si="259"/>
        <v>24196.561631410561</v>
      </c>
    </row>
    <row r="585" spans="32:43" x14ac:dyDescent="0.2">
      <c r="AF585" s="271" t="s">
        <v>11</v>
      </c>
      <c r="AG585" s="266">
        <f>SUM(AG578:AG584)</f>
        <v>14498.66364280555</v>
      </c>
      <c r="AH585" s="266">
        <f>SUM(AH578:AH584)</f>
        <v>14599.730815848385</v>
      </c>
      <c r="AI585" s="270"/>
      <c r="AJ585" s="281"/>
      <c r="AK585" s="281"/>
      <c r="AL585" s="281"/>
      <c r="AM585" s="281"/>
      <c r="AN585" s="281"/>
      <c r="AO585" s="281"/>
      <c r="AP585" s="281"/>
      <c r="AQ585" s="281"/>
    </row>
    <row r="586" spans="32:43" x14ac:dyDescent="0.2">
      <c r="AF586" s="179"/>
      <c r="AG586" s="353" t="s">
        <v>274</v>
      </c>
      <c r="AH586" s="353"/>
      <c r="AI586" s="179"/>
      <c r="AJ586" s="353" t="s">
        <v>274</v>
      </c>
      <c r="AK586" s="353"/>
      <c r="AL586" s="353" t="s">
        <v>274</v>
      </c>
      <c r="AM586" s="353"/>
      <c r="AN586" s="353" t="s">
        <v>274</v>
      </c>
      <c r="AO586" s="353"/>
      <c r="AP586" s="353" t="s">
        <v>274</v>
      </c>
      <c r="AQ586" s="353"/>
    </row>
    <row r="587" spans="32:43" x14ac:dyDescent="0.2">
      <c r="AF587" s="282" t="str">
        <f>AF578</f>
        <v>Residential</v>
      </c>
      <c r="AG587" s="346">
        <f>AH578-AG578</f>
        <v>84.795357426804912</v>
      </c>
      <c r="AH587" s="347"/>
      <c r="AI587" s="270" t="str">
        <f>AI578</f>
        <v>kWh</v>
      </c>
      <c r="AJ587" s="346">
        <f>AK578-AJ578</f>
        <v>-400112.60561555624</v>
      </c>
      <c r="AK587" s="347"/>
      <c r="AL587" s="346">
        <f>AM578-AL578</f>
        <v>-400112.60561555624</v>
      </c>
      <c r="AM587" s="347"/>
      <c r="AN587" s="346">
        <f>AO578-AN578</f>
        <v>-111.81356064666579</v>
      </c>
      <c r="AO587" s="347"/>
      <c r="AP587" s="346">
        <f>AQ578-AP578</f>
        <v>-111.81356064666579</v>
      </c>
      <c r="AQ587" s="347"/>
    </row>
    <row r="588" spans="32:43" x14ac:dyDescent="0.2">
      <c r="AF588" s="282" t="str">
        <f t="shared" ref="AF588:AF593" si="260">AF579</f>
        <v>GS&lt;50</v>
      </c>
      <c r="AG588" s="346">
        <f t="shared" ref="AG588:AG590" si="261">AH579-AG579</f>
        <v>16.271815616029244</v>
      </c>
      <c r="AH588" s="347"/>
      <c r="AI588" s="270" t="str">
        <f t="shared" ref="AI588:AI593" si="262">AI579</f>
        <v>kWh</v>
      </c>
      <c r="AJ588" s="346">
        <f t="shared" ref="AJ588:AJ590" si="263">AK579-AJ579</f>
        <v>-86139.819918073714</v>
      </c>
      <c r="AK588" s="347"/>
      <c r="AL588" s="346">
        <f t="shared" ref="AL588:AL590" si="264">AM579-AL579</f>
        <v>-86139.819918073714</v>
      </c>
      <c r="AM588" s="347"/>
      <c r="AN588" s="346">
        <f t="shared" ref="AN588:AN590" si="265">AO579-AN579</f>
        <v>-375.4257784416659</v>
      </c>
      <c r="AO588" s="347"/>
      <c r="AP588" s="346">
        <f t="shared" ref="AP588:AP590" si="266">AQ579-AP579</f>
        <v>-375.4257784416659</v>
      </c>
      <c r="AQ588" s="347"/>
    </row>
    <row r="589" spans="32:43" x14ac:dyDescent="0.2">
      <c r="AF589" s="282" t="str">
        <f t="shared" si="260"/>
        <v>GS&gt;50</v>
      </c>
      <c r="AG589" s="346">
        <f t="shared" si="261"/>
        <v>0</v>
      </c>
      <c r="AH589" s="347"/>
      <c r="AI589" s="270" t="str">
        <f t="shared" si="262"/>
        <v>kW</v>
      </c>
      <c r="AJ589" s="346">
        <f t="shared" si="263"/>
        <v>-4268.0498485260468</v>
      </c>
      <c r="AK589" s="347"/>
      <c r="AL589" s="346">
        <f t="shared" si="264"/>
        <v>-4268.0498485260468</v>
      </c>
      <c r="AM589" s="347"/>
      <c r="AN589" s="346">
        <f t="shared" si="265"/>
        <v>-46.141079443524859</v>
      </c>
      <c r="AO589" s="347"/>
      <c r="AP589" s="346">
        <f t="shared" si="266"/>
        <v>-46.141079443524859</v>
      </c>
      <c r="AQ589" s="347"/>
    </row>
    <row r="590" spans="32:43" x14ac:dyDescent="0.2">
      <c r="AF590" s="282" t="str">
        <f t="shared" si="260"/>
        <v>Street Lights</v>
      </c>
      <c r="AG590" s="346">
        <f t="shared" si="261"/>
        <v>0</v>
      </c>
      <c r="AH590" s="347"/>
      <c r="AI590" s="270" t="str">
        <f t="shared" si="262"/>
        <v>kW</v>
      </c>
      <c r="AJ590" s="346">
        <f t="shared" si="263"/>
        <v>16.025668169402707</v>
      </c>
      <c r="AK590" s="347"/>
      <c r="AL590" s="346">
        <f t="shared" si="264"/>
        <v>16.025668169402707</v>
      </c>
      <c r="AM590" s="347"/>
      <c r="AN590" s="346">
        <f t="shared" si="265"/>
        <v>5.6717990335881652E-3</v>
      </c>
      <c r="AO590" s="347"/>
      <c r="AP590" s="346">
        <f t="shared" si="266"/>
        <v>5.6717990335881652E-3</v>
      </c>
      <c r="AQ590" s="347"/>
    </row>
    <row r="591" spans="32:43" x14ac:dyDescent="0.2">
      <c r="AF591" s="282" t="str">
        <f t="shared" si="260"/>
        <v>Unmetered Scattered Load</v>
      </c>
      <c r="AG591" s="346">
        <f t="shared" ref="AG591:AG593" si="267">AH582-AG582</f>
        <v>0</v>
      </c>
      <c r="AH591" s="347"/>
      <c r="AI591" s="270" t="str">
        <f t="shared" si="262"/>
        <v>kWh</v>
      </c>
      <c r="AJ591" s="346">
        <f t="shared" ref="AJ591:AJ593" si="268">AK582-AJ582</f>
        <v>2625.7211071840138</v>
      </c>
      <c r="AK591" s="347"/>
      <c r="AL591" s="346">
        <f t="shared" ref="AL591:AL593" si="269">AM582-AL582</f>
        <v>2625.7211071840138</v>
      </c>
      <c r="AM591" s="347"/>
      <c r="AN591" s="346">
        <f t="shared" ref="AN591:AN593" si="270">AO582-AN582</f>
        <v>84.700680876903789</v>
      </c>
      <c r="AO591" s="347"/>
      <c r="AP591" s="346">
        <f t="shared" ref="AP591:AP593" si="271">AQ582-AP582</f>
        <v>84.700680876903789</v>
      </c>
      <c r="AQ591" s="347"/>
    </row>
    <row r="592" spans="32:43" x14ac:dyDescent="0.2">
      <c r="AF592" s="282" t="str">
        <f t="shared" si="260"/>
        <v>Sentinel Lights</v>
      </c>
      <c r="AG592" s="346">
        <f t="shared" si="267"/>
        <v>0</v>
      </c>
      <c r="AH592" s="347"/>
      <c r="AI592" s="270" t="str">
        <f t="shared" si="262"/>
        <v>kW</v>
      </c>
      <c r="AJ592" s="346">
        <f t="shared" si="268"/>
        <v>14</v>
      </c>
      <c r="AK592" s="347"/>
      <c r="AL592" s="346">
        <f t="shared" si="269"/>
        <v>14</v>
      </c>
      <c r="AM592" s="347"/>
      <c r="AN592" s="346">
        <f t="shared" si="270"/>
        <v>2</v>
      </c>
      <c r="AO592" s="347"/>
      <c r="AP592" s="346">
        <f t="shared" si="271"/>
        <v>2</v>
      </c>
      <c r="AQ592" s="347"/>
    </row>
    <row r="593" spans="32:43" x14ac:dyDescent="0.2">
      <c r="AF593" s="282" t="str">
        <f t="shared" si="260"/>
        <v>Embedded Distributor</v>
      </c>
      <c r="AG593" s="346">
        <f t="shared" si="267"/>
        <v>0</v>
      </c>
      <c r="AH593" s="347"/>
      <c r="AI593" s="270" t="str">
        <f t="shared" si="262"/>
        <v>kW</v>
      </c>
      <c r="AJ593" s="346">
        <f t="shared" si="268"/>
        <v>-3216.1323179883475</v>
      </c>
      <c r="AK593" s="347"/>
      <c r="AL593" s="346">
        <f t="shared" si="269"/>
        <v>-3216.1323179883475</v>
      </c>
      <c r="AM593" s="347"/>
      <c r="AN593" s="346">
        <f t="shared" si="270"/>
        <v>-804.03307949708687</v>
      </c>
      <c r="AO593" s="347"/>
      <c r="AP593" s="346">
        <f t="shared" si="271"/>
        <v>-804.03307949708687</v>
      </c>
      <c r="AQ593" s="347"/>
    </row>
  </sheetData>
  <mergeCells count="385">
    <mergeCell ref="AN591:AO591"/>
    <mergeCell ref="AN592:AO592"/>
    <mergeCell ref="AN593:AO593"/>
    <mergeCell ref="AP591:AQ591"/>
    <mergeCell ref="AP592:AQ592"/>
    <mergeCell ref="AP593:AQ593"/>
    <mergeCell ref="AG591:AH591"/>
    <mergeCell ref="AG592:AH592"/>
    <mergeCell ref="AG593:AH593"/>
    <mergeCell ref="AJ591:AK591"/>
    <mergeCell ref="AJ592:AK592"/>
    <mergeCell ref="AJ593:AK593"/>
    <mergeCell ref="AL591:AM591"/>
    <mergeCell ref="AL592:AM592"/>
    <mergeCell ref="AL593:AM593"/>
    <mergeCell ref="AL560:AM560"/>
    <mergeCell ref="AL561:AM561"/>
    <mergeCell ref="AL562:AM562"/>
    <mergeCell ref="AN560:AO560"/>
    <mergeCell ref="AN561:AO561"/>
    <mergeCell ref="AN562:AO562"/>
    <mergeCell ref="AP560:AQ560"/>
    <mergeCell ref="AP561:AQ561"/>
    <mergeCell ref="AP562:AQ562"/>
    <mergeCell ref="AL529:AM529"/>
    <mergeCell ref="AL530:AM530"/>
    <mergeCell ref="AL531:AM531"/>
    <mergeCell ref="AN529:AO529"/>
    <mergeCell ref="AN530:AO530"/>
    <mergeCell ref="AN531:AO531"/>
    <mergeCell ref="AP529:AQ529"/>
    <mergeCell ref="AP530:AQ530"/>
    <mergeCell ref="AP531:AQ531"/>
    <mergeCell ref="AL498:AM498"/>
    <mergeCell ref="AL499:AM499"/>
    <mergeCell ref="AL500:AM500"/>
    <mergeCell ref="AN498:AO498"/>
    <mergeCell ref="AN499:AO499"/>
    <mergeCell ref="AN500:AO500"/>
    <mergeCell ref="AP498:AQ498"/>
    <mergeCell ref="AP499:AQ499"/>
    <mergeCell ref="AP500:AQ500"/>
    <mergeCell ref="AL467:AM467"/>
    <mergeCell ref="AL468:AM468"/>
    <mergeCell ref="AL469:AM469"/>
    <mergeCell ref="AN467:AO467"/>
    <mergeCell ref="AN468:AO468"/>
    <mergeCell ref="AN469:AO469"/>
    <mergeCell ref="AP467:AQ467"/>
    <mergeCell ref="AP468:AQ468"/>
    <mergeCell ref="AP469:AQ469"/>
    <mergeCell ref="AL436:AM436"/>
    <mergeCell ref="AL437:AM437"/>
    <mergeCell ref="AL438:AM438"/>
    <mergeCell ref="AN436:AO436"/>
    <mergeCell ref="AN437:AO437"/>
    <mergeCell ref="AN438:AO438"/>
    <mergeCell ref="AP436:AQ436"/>
    <mergeCell ref="AP437:AQ437"/>
    <mergeCell ref="AP438:AQ438"/>
    <mergeCell ref="AL405:AM405"/>
    <mergeCell ref="AL406:AM406"/>
    <mergeCell ref="AL407:AM407"/>
    <mergeCell ref="AN405:AO405"/>
    <mergeCell ref="AN406:AO406"/>
    <mergeCell ref="AN407:AO407"/>
    <mergeCell ref="AP405:AQ405"/>
    <mergeCell ref="AP406:AQ406"/>
    <mergeCell ref="AP407:AQ407"/>
    <mergeCell ref="L112:M112"/>
    <mergeCell ref="A129:G129"/>
    <mergeCell ref="A131:G131"/>
    <mergeCell ref="O2:X2"/>
    <mergeCell ref="O4:X4"/>
    <mergeCell ref="O13:X13"/>
    <mergeCell ref="A22:G22"/>
    <mergeCell ref="A24:G24"/>
    <mergeCell ref="A43:I43"/>
    <mergeCell ref="A69:I69"/>
    <mergeCell ref="A70:I70"/>
    <mergeCell ref="A147:I147"/>
    <mergeCell ref="A96:H96"/>
    <mergeCell ref="A85:H85"/>
    <mergeCell ref="A162:F162"/>
    <mergeCell ref="A149:I149"/>
    <mergeCell ref="A164:H164"/>
    <mergeCell ref="A177:I177"/>
    <mergeCell ref="A179:I179"/>
    <mergeCell ref="A183:H183"/>
    <mergeCell ref="I85:I109"/>
    <mergeCell ref="A185:H185"/>
    <mergeCell ref="A197:H197"/>
    <mergeCell ref="A199:H199"/>
    <mergeCell ref="A212:H212"/>
    <mergeCell ref="A214:H214"/>
    <mergeCell ref="A218:H218"/>
    <mergeCell ref="A220:I220"/>
    <mergeCell ref="A253:E253"/>
    <mergeCell ref="A261:E261"/>
    <mergeCell ref="A266:E266"/>
    <mergeCell ref="A273:F273"/>
    <mergeCell ref="B224:E224"/>
    <mergeCell ref="A229:E229"/>
    <mergeCell ref="A237:E237"/>
    <mergeCell ref="A245:E245"/>
    <mergeCell ref="B226:H226"/>
    <mergeCell ref="A275:I275"/>
    <mergeCell ref="A278:I278"/>
    <mergeCell ref="O327:W327"/>
    <mergeCell ref="O338:W338"/>
    <mergeCell ref="AG389:AH389"/>
    <mergeCell ref="AJ389:AK389"/>
    <mergeCell ref="AL389:AM389"/>
    <mergeCell ref="A281:I281"/>
    <mergeCell ref="A284:I284"/>
    <mergeCell ref="A288:I288"/>
    <mergeCell ref="A290:K290"/>
    <mergeCell ref="B291:F291"/>
    <mergeCell ref="G291:K291"/>
    <mergeCell ref="A303:E303"/>
    <mergeCell ref="A305:E305"/>
    <mergeCell ref="AN389:AO389"/>
    <mergeCell ref="AP389:AQ389"/>
    <mergeCell ref="AF390:AK390"/>
    <mergeCell ref="AN390:AO390"/>
    <mergeCell ref="AP390:AQ390"/>
    <mergeCell ref="AG400:AH400"/>
    <mergeCell ref="AJ400:AK400"/>
    <mergeCell ref="AL400:AM400"/>
    <mergeCell ref="AN400:AO400"/>
    <mergeCell ref="AP400:AQ400"/>
    <mergeCell ref="AG401:AH401"/>
    <mergeCell ref="AJ401:AK401"/>
    <mergeCell ref="AL401:AM401"/>
    <mergeCell ref="AN401:AO401"/>
    <mergeCell ref="AP401:AQ401"/>
    <mergeCell ref="AG402:AH402"/>
    <mergeCell ref="AJ402:AK402"/>
    <mergeCell ref="AL402:AM402"/>
    <mergeCell ref="AN402:AO402"/>
    <mergeCell ref="AP402:AQ402"/>
    <mergeCell ref="AG420:AH420"/>
    <mergeCell ref="AJ420:AK420"/>
    <mergeCell ref="AL420:AM420"/>
    <mergeCell ref="AN420:AO420"/>
    <mergeCell ref="AP420:AQ420"/>
    <mergeCell ref="AF421:AK421"/>
    <mergeCell ref="AN421:AO421"/>
    <mergeCell ref="AP421:AQ421"/>
    <mergeCell ref="AG403:AH403"/>
    <mergeCell ref="AJ403:AK403"/>
    <mergeCell ref="AL403:AM403"/>
    <mergeCell ref="AN403:AO403"/>
    <mergeCell ref="AP403:AQ403"/>
    <mergeCell ref="AG404:AH404"/>
    <mergeCell ref="AJ404:AK404"/>
    <mergeCell ref="AL404:AM404"/>
    <mergeCell ref="AN404:AO404"/>
    <mergeCell ref="AP404:AQ404"/>
    <mergeCell ref="AG405:AH405"/>
    <mergeCell ref="AG406:AH406"/>
    <mergeCell ref="AG407:AH407"/>
    <mergeCell ref="AJ405:AK405"/>
    <mergeCell ref="AJ406:AK406"/>
    <mergeCell ref="AJ407:AK407"/>
    <mergeCell ref="AG431:AH431"/>
    <mergeCell ref="AJ431:AK431"/>
    <mergeCell ref="AL431:AM431"/>
    <mergeCell ref="AN431:AO431"/>
    <mergeCell ref="AP431:AQ431"/>
    <mergeCell ref="AG432:AH432"/>
    <mergeCell ref="AJ432:AK432"/>
    <mergeCell ref="AL432:AM432"/>
    <mergeCell ref="AN432:AO432"/>
    <mergeCell ref="AP432:AQ432"/>
    <mergeCell ref="AG433:AH433"/>
    <mergeCell ref="AJ433:AK433"/>
    <mergeCell ref="AL433:AM433"/>
    <mergeCell ref="AN433:AO433"/>
    <mergeCell ref="AP433:AQ433"/>
    <mergeCell ref="AG434:AH434"/>
    <mergeCell ref="AJ434:AK434"/>
    <mergeCell ref="AL434:AM434"/>
    <mergeCell ref="AN434:AO434"/>
    <mergeCell ref="AP434:AQ434"/>
    <mergeCell ref="AF452:AK452"/>
    <mergeCell ref="AN452:AO452"/>
    <mergeCell ref="AP452:AQ452"/>
    <mergeCell ref="AG462:AH462"/>
    <mergeCell ref="AJ462:AK462"/>
    <mergeCell ref="AL462:AM462"/>
    <mergeCell ref="AN462:AO462"/>
    <mergeCell ref="AP462:AQ462"/>
    <mergeCell ref="AG435:AH435"/>
    <mergeCell ref="AJ435:AK435"/>
    <mergeCell ref="AL435:AM435"/>
    <mergeCell ref="AN435:AO435"/>
    <mergeCell ref="AP435:AQ435"/>
    <mergeCell ref="AG451:AH451"/>
    <mergeCell ref="AJ451:AK451"/>
    <mergeCell ref="AL451:AM451"/>
    <mergeCell ref="AN451:AO451"/>
    <mergeCell ref="AP451:AQ451"/>
    <mergeCell ref="AG436:AH436"/>
    <mergeCell ref="AG437:AH437"/>
    <mergeCell ref="AG438:AH438"/>
    <mergeCell ref="AJ436:AK436"/>
    <mergeCell ref="AJ437:AK437"/>
    <mergeCell ref="AJ438:AK438"/>
    <mergeCell ref="AG463:AH463"/>
    <mergeCell ref="AJ463:AK463"/>
    <mergeCell ref="AL463:AM463"/>
    <mergeCell ref="AN463:AO463"/>
    <mergeCell ref="AP463:AQ463"/>
    <mergeCell ref="AG464:AH464"/>
    <mergeCell ref="AJ464:AK464"/>
    <mergeCell ref="AL464:AM464"/>
    <mergeCell ref="AN464:AO464"/>
    <mergeCell ref="AP464:AQ464"/>
    <mergeCell ref="AG482:AH482"/>
    <mergeCell ref="AJ482:AK482"/>
    <mergeCell ref="AL482:AM482"/>
    <mergeCell ref="AN482:AO482"/>
    <mergeCell ref="AP482:AQ482"/>
    <mergeCell ref="AF483:AK483"/>
    <mergeCell ref="AN483:AO483"/>
    <mergeCell ref="AP483:AQ483"/>
    <mergeCell ref="AG465:AH465"/>
    <mergeCell ref="AJ465:AK465"/>
    <mergeCell ref="AL465:AM465"/>
    <mergeCell ref="AN465:AO465"/>
    <mergeCell ref="AP465:AQ465"/>
    <mergeCell ref="AG466:AH466"/>
    <mergeCell ref="AJ466:AK466"/>
    <mergeCell ref="AL466:AM466"/>
    <mergeCell ref="AN466:AO466"/>
    <mergeCell ref="AP466:AQ466"/>
    <mergeCell ref="AG467:AH467"/>
    <mergeCell ref="AG468:AH468"/>
    <mergeCell ref="AG469:AH469"/>
    <mergeCell ref="AJ467:AK467"/>
    <mergeCell ref="AJ468:AK468"/>
    <mergeCell ref="AJ469:AK469"/>
    <mergeCell ref="AG493:AH493"/>
    <mergeCell ref="AJ493:AK493"/>
    <mergeCell ref="AL493:AM493"/>
    <mergeCell ref="AN493:AO493"/>
    <mergeCell ref="AP493:AQ493"/>
    <mergeCell ref="AG494:AH494"/>
    <mergeCell ref="AJ494:AK494"/>
    <mergeCell ref="AL494:AM494"/>
    <mergeCell ref="AN494:AO494"/>
    <mergeCell ref="AP494:AQ494"/>
    <mergeCell ref="AG495:AH495"/>
    <mergeCell ref="AJ495:AK495"/>
    <mergeCell ref="AL495:AM495"/>
    <mergeCell ref="AN495:AO495"/>
    <mergeCell ref="AP495:AQ495"/>
    <mergeCell ref="AG496:AH496"/>
    <mergeCell ref="AJ496:AK496"/>
    <mergeCell ref="AL496:AM496"/>
    <mergeCell ref="AN496:AO496"/>
    <mergeCell ref="AP496:AQ496"/>
    <mergeCell ref="AF514:AK514"/>
    <mergeCell ref="AN514:AO514"/>
    <mergeCell ref="AP514:AQ514"/>
    <mergeCell ref="AG524:AH524"/>
    <mergeCell ref="AJ524:AK524"/>
    <mergeCell ref="AL524:AM524"/>
    <mergeCell ref="AN524:AO524"/>
    <mergeCell ref="AP524:AQ524"/>
    <mergeCell ref="AG497:AH497"/>
    <mergeCell ref="AJ497:AK497"/>
    <mergeCell ref="AL497:AM497"/>
    <mergeCell ref="AN497:AO497"/>
    <mergeCell ref="AP497:AQ497"/>
    <mergeCell ref="AG513:AH513"/>
    <mergeCell ref="AJ513:AK513"/>
    <mergeCell ref="AL513:AM513"/>
    <mergeCell ref="AN513:AO513"/>
    <mergeCell ref="AP513:AQ513"/>
    <mergeCell ref="AG498:AH498"/>
    <mergeCell ref="AG499:AH499"/>
    <mergeCell ref="AG500:AH500"/>
    <mergeCell ref="AJ498:AK498"/>
    <mergeCell ref="AJ499:AK499"/>
    <mergeCell ref="AJ500:AK500"/>
    <mergeCell ref="AG525:AH525"/>
    <mergeCell ref="AJ525:AK525"/>
    <mergeCell ref="AL525:AM525"/>
    <mergeCell ref="AN525:AO525"/>
    <mergeCell ref="AP525:AQ525"/>
    <mergeCell ref="AG526:AH526"/>
    <mergeCell ref="AJ526:AK526"/>
    <mergeCell ref="AL526:AM526"/>
    <mergeCell ref="AN526:AO526"/>
    <mergeCell ref="AP526:AQ526"/>
    <mergeCell ref="AG544:AH544"/>
    <mergeCell ref="AJ544:AK544"/>
    <mergeCell ref="AL544:AM544"/>
    <mergeCell ref="AN544:AO544"/>
    <mergeCell ref="AP544:AQ544"/>
    <mergeCell ref="AF545:AK545"/>
    <mergeCell ref="AN545:AO545"/>
    <mergeCell ref="AP545:AQ545"/>
    <mergeCell ref="AG527:AH527"/>
    <mergeCell ref="AJ527:AK527"/>
    <mergeCell ref="AL527:AM527"/>
    <mergeCell ref="AN527:AO527"/>
    <mergeCell ref="AP527:AQ527"/>
    <mergeCell ref="AG528:AH528"/>
    <mergeCell ref="AJ528:AK528"/>
    <mergeCell ref="AL528:AM528"/>
    <mergeCell ref="AN528:AO528"/>
    <mergeCell ref="AP528:AQ528"/>
    <mergeCell ref="AG529:AH529"/>
    <mergeCell ref="AG530:AH530"/>
    <mergeCell ref="AG531:AH531"/>
    <mergeCell ref="AJ529:AK529"/>
    <mergeCell ref="AJ530:AK530"/>
    <mergeCell ref="AJ531:AK531"/>
    <mergeCell ref="AG555:AH555"/>
    <mergeCell ref="AJ555:AK555"/>
    <mergeCell ref="AL555:AM555"/>
    <mergeCell ref="AN555:AO555"/>
    <mergeCell ref="AP555:AQ555"/>
    <mergeCell ref="AG556:AH556"/>
    <mergeCell ref="AJ556:AK556"/>
    <mergeCell ref="AL556:AM556"/>
    <mergeCell ref="AN556:AO556"/>
    <mergeCell ref="AP556:AQ556"/>
    <mergeCell ref="AG557:AH557"/>
    <mergeCell ref="AJ557:AK557"/>
    <mergeCell ref="AL557:AM557"/>
    <mergeCell ref="AN557:AO557"/>
    <mergeCell ref="AP557:AQ557"/>
    <mergeCell ref="AG558:AH558"/>
    <mergeCell ref="AJ558:AK558"/>
    <mergeCell ref="AL558:AM558"/>
    <mergeCell ref="AN558:AO558"/>
    <mergeCell ref="AP558:AQ558"/>
    <mergeCell ref="AF576:AK576"/>
    <mergeCell ref="AN576:AO576"/>
    <mergeCell ref="AP576:AQ576"/>
    <mergeCell ref="AG586:AH586"/>
    <mergeCell ref="AJ586:AK586"/>
    <mergeCell ref="AL586:AM586"/>
    <mergeCell ref="AN586:AO586"/>
    <mergeCell ref="AP586:AQ586"/>
    <mergeCell ref="AG559:AH559"/>
    <mergeCell ref="AJ559:AK559"/>
    <mergeCell ref="AL559:AM559"/>
    <mergeCell ref="AN559:AO559"/>
    <mergeCell ref="AP559:AQ559"/>
    <mergeCell ref="AG575:AH575"/>
    <mergeCell ref="AJ575:AK575"/>
    <mergeCell ref="AL575:AM575"/>
    <mergeCell ref="AN575:AO575"/>
    <mergeCell ref="AP575:AQ575"/>
    <mergeCell ref="AG560:AH560"/>
    <mergeCell ref="AG561:AH561"/>
    <mergeCell ref="AG562:AH562"/>
    <mergeCell ref="AJ560:AK560"/>
    <mergeCell ref="AJ561:AK561"/>
    <mergeCell ref="AJ562:AK562"/>
    <mergeCell ref="AG587:AH587"/>
    <mergeCell ref="AJ587:AK587"/>
    <mergeCell ref="AL587:AM587"/>
    <mergeCell ref="AN587:AO587"/>
    <mergeCell ref="AP587:AQ587"/>
    <mergeCell ref="AG588:AH588"/>
    <mergeCell ref="AJ588:AK588"/>
    <mergeCell ref="AL588:AM588"/>
    <mergeCell ref="AN588:AO588"/>
    <mergeCell ref="AP588:AQ588"/>
    <mergeCell ref="AG589:AH589"/>
    <mergeCell ref="AJ589:AK589"/>
    <mergeCell ref="AL589:AM589"/>
    <mergeCell ref="AN589:AO589"/>
    <mergeCell ref="AP589:AQ589"/>
    <mergeCell ref="AG590:AH590"/>
    <mergeCell ref="AJ590:AK590"/>
    <mergeCell ref="AL590:AM590"/>
    <mergeCell ref="AN590:AO590"/>
    <mergeCell ref="AP590:AQ590"/>
  </mergeCells>
  <pageMargins left="0.7" right="0.7" top="0.75" bottom="0.75" header="0.3" footer="0.3"/>
  <pageSetup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4" workbookViewId="0">
      <selection activeCell="C13" sqref="C13:G13"/>
    </sheetView>
  </sheetViews>
  <sheetFormatPr defaultRowHeight="12.75" x14ac:dyDescent="0.2"/>
  <cols>
    <col min="1" max="1" width="4.42578125" bestFit="1" customWidth="1"/>
    <col min="2" max="2" width="31.28515625" customWidth="1"/>
    <col min="3" max="7" width="11.140625" bestFit="1" customWidth="1"/>
    <col min="8" max="8" width="15" bestFit="1" customWidth="1"/>
  </cols>
  <sheetData>
    <row r="1" spans="1:8" ht="18" x14ac:dyDescent="0.25">
      <c r="A1" s="400" t="s">
        <v>112</v>
      </c>
      <c r="B1" s="400"/>
      <c r="C1" s="400"/>
      <c r="D1" s="400"/>
      <c r="E1" s="400"/>
      <c r="F1" s="400"/>
      <c r="G1" s="400"/>
      <c r="H1" s="400"/>
    </row>
    <row r="2" spans="1:8" ht="18" x14ac:dyDescent="0.25">
      <c r="A2" s="400" t="s">
        <v>113</v>
      </c>
      <c r="B2" s="400"/>
      <c r="C2" s="400"/>
      <c r="D2" s="400"/>
      <c r="E2" s="400"/>
      <c r="F2" s="400"/>
      <c r="G2" s="400"/>
      <c r="H2" s="400"/>
    </row>
    <row r="4" spans="1:8" x14ac:dyDescent="0.2">
      <c r="A4" s="401"/>
      <c r="B4" s="401"/>
      <c r="C4" s="401"/>
      <c r="D4" s="401"/>
      <c r="E4" s="401"/>
      <c r="F4" s="401"/>
      <c r="G4" s="401"/>
      <c r="H4" s="401"/>
    </row>
    <row r="5" spans="1:8" ht="13.5" thickBot="1" x14ac:dyDescent="0.25"/>
    <row r="6" spans="1:8" x14ac:dyDescent="0.2">
      <c r="A6" s="402"/>
      <c r="B6" s="403"/>
      <c r="C6" s="406" t="s">
        <v>114</v>
      </c>
      <c r="D6" s="407"/>
      <c r="E6" s="407"/>
      <c r="F6" s="407"/>
      <c r="G6" s="408"/>
      <c r="H6" s="409" t="s">
        <v>115</v>
      </c>
    </row>
    <row r="7" spans="1:8" x14ac:dyDescent="0.2">
      <c r="A7" s="404"/>
      <c r="B7" s="405"/>
      <c r="C7" s="97">
        <v>2011</v>
      </c>
      <c r="D7" s="97">
        <v>2012</v>
      </c>
      <c r="E7" s="97">
        <v>2013</v>
      </c>
      <c r="F7" s="97">
        <v>2014</v>
      </c>
      <c r="G7" s="97">
        <v>2015</v>
      </c>
      <c r="H7" s="410"/>
    </row>
    <row r="8" spans="1:8" x14ac:dyDescent="0.2">
      <c r="A8" s="98"/>
      <c r="B8" s="394" t="s">
        <v>116</v>
      </c>
      <c r="C8" s="395"/>
      <c r="D8" s="395"/>
      <c r="E8" s="395"/>
      <c r="F8" s="395"/>
      <c r="G8" s="395"/>
      <c r="H8" s="396"/>
    </row>
    <row r="9" spans="1:8" ht="25.5" x14ac:dyDescent="0.2">
      <c r="A9" s="99" t="s">
        <v>117</v>
      </c>
      <c r="B9" s="100" t="s">
        <v>118</v>
      </c>
      <c r="C9" s="101">
        <f>Summary!H4</f>
        <v>255035715.38461539</v>
      </c>
      <c r="D9" s="101">
        <f>Summary!I4</f>
        <v>246901827.27272725</v>
      </c>
      <c r="E9" s="101">
        <f>Summary!J4</f>
        <v>247681431.06060606</v>
      </c>
      <c r="F9" s="101">
        <f>Summary!K4</f>
        <v>249772655.12820518</v>
      </c>
      <c r="G9" s="101">
        <f>Summary!L4</f>
        <v>247718853.84615383</v>
      </c>
      <c r="H9" s="112">
        <f>IF(SUM(C9:G9)=0,0,AVERAGE(C9:G9))</f>
        <v>249422096.53846154</v>
      </c>
    </row>
    <row r="10" spans="1:8" ht="25.5" x14ac:dyDescent="0.2">
      <c r="A10" s="99" t="s">
        <v>119</v>
      </c>
      <c r="B10" s="100" t="s">
        <v>120</v>
      </c>
      <c r="C10" s="101">
        <f>C9/C18</f>
        <v>246649628.03154293</v>
      </c>
      <c r="D10" s="101">
        <f>D9/D18</f>
        <v>238783198.52294704</v>
      </c>
      <c r="E10" s="101">
        <f>E9/E18</f>
        <v>239537167.37002519</v>
      </c>
      <c r="F10" s="101">
        <f>F9/F18</f>
        <v>241559627.783564</v>
      </c>
      <c r="G10" s="101">
        <f>G9/G18</f>
        <v>239573359.61910427</v>
      </c>
      <c r="H10" s="112">
        <f>IF(SUM(C10:G10)=0,0,AVERAGE(C10:G10))</f>
        <v>241220596.26543665</v>
      </c>
    </row>
    <row r="11" spans="1:8" ht="38.25" x14ac:dyDescent="0.2">
      <c r="A11" s="99" t="s">
        <v>121</v>
      </c>
      <c r="B11" s="100" t="s">
        <v>122</v>
      </c>
      <c r="C11" s="103"/>
      <c r="D11" s="103"/>
      <c r="E11" s="103"/>
      <c r="F11" s="103"/>
      <c r="G11" s="103"/>
      <c r="H11" s="104">
        <f>IF(SUM(C11:G11)=0,0,AVERAGE(C11:G11))</f>
        <v>0</v>
      </c>
    </row>
    <row r="12" spans="1:8" ht="25.5" x14ac:dyDescent="0.2">
      <c r="A12" s="99" t="s">
        <v>123</v>
      </c>
      <c r="B12" s="100" t="s">
        <v>124</v>
      </c>
      <c r="C12" s="102">
        <f t="shared" ref="C12:H12" si="0">C10-C11</f>
        <v>246649628.03154293</v>
      </c>
      <c r="D12" s="102">
        <f t="shared" si="0"/>
        <v>238783198.52294704</v>
      </c>
      <c r="E12" s="102">
        <f t="shared" si="0"/>
        <v>239537167.37002519</v>
      </c>
      <c r="F12" s="102">
        <f t="shared" si="0"/>
        <v>241559627.783564</v>
      </c>
      <c r="G12" s="102">
        <f t="shared" si="0"/>
        <v>239573359.61910427</v>
      </c>
      <c r="H12" s="112">
        <f t="shared" si="0"/>
        <v>241220596.26543665</v>
      </c>
    </row>
    <row r="13" spans="1:8" x14ac:dyDescent="0.2">
      <c r="A13" s="99" t="s">
        <v>125</v>
      </c>
      <c r="B13" s="100" t="s">
        <v>126</v>
      </c>
      <c r="C13" s="101">
        <f>Summary!H10</f>
        <v>241928636.40000001</v>
      </c>
      <c r="D13" s="101">
        <f>Summary!I10</f>
        <v>233351045.58096856</v>
      </c>
      <c r="E13" s="101">
        <f>Summary!J10</f>
        <v>229730886.55255783</v>
      </c>
      <c r="F13" s="101">
        <f>Summary!K10</f>
        <v>230942887.5</v>
      </c>
      <c r="G13" s="101">
        <f>Summary!L10</f>
        <v>232502517.32197464</v>
      </c>
      <c r="H13" s="112">
        <f>IF(SUM(C13:G13)=0,0,AVERAGE(C13:G13))</f>
        <v>233691194.67110023</v>
      </c>
    </row>
    <row r="14" spans="1:8" ht="38.25" x14ac:dyDescent="0.2">
      <c r="A14" s="99" t="s">
        <v>127</v>
      </c>
      <c r="B14" s="100" t="s">
        <v>128</v>
      </c>
      <c r="C14" s="103"/>
      <c r="D14" s="103"/>
      <c r="E14" s="103"/>
      <c r="F14" s="103"/>
      <c r="G14" s="103"/>
      <c r="H14" s="104">
        <f>IF(SUM(C14:G14)=0,0,AVERAGE(C14:G14))</f>
        <v>0</v>
      </c>
    </row>
    <row r="15" spans="1:8" ht="25.5" x14ac:dyDescent="0.2">
      <c r="A15" s="99" t="s">
        <v>34</v>
      </c>
      <c r="B15" s="100" t="s">
        <v>129</v>
      </c>
      <c r="C15" s="102">
        <f t="shared" ref="C15:H15" si="1">C13-C14</f>
        <v>241928636.40000001</v>
      </c>
      <c r="D15" s="102">
        <f t="shared" si="1"/>
        <v>233351045.58096856</v>
      </c>
      <c r="E15" s="102">
        <f t="shared" si="1"/>
        <v>229730886.55255783</v>
      </c>
      <c r="F15" s="102">
        <f t="shared" si="1"/>
        <v>230942887.5</v>
      </c>
      <c r="G15" s="102">
        <f t="shared" si="1"/>
        <v>232502517.32197464</v>
      </c>
      <c r="H15" s="112">
        <f t="shared" si="1"/>
        <v>233691194.67110023</v>
      </c>
    </row>
    <row r="16" spans="1:8" ht="25.5" x14ac:dyDescent="0.2">
      <c r="A16" s="99" t="s">
        <v>130</v>
      </c>
      <c r="B16" s="100" t="s">
        <v>131</v>
      </c>
      <c r="C16" s="105">
        <f t="shared" ref="C16:H16" si="2">IF(C15=0,"",C12/C15)</f>
        <v>1.0195139843790022</v>
      </c>
      <c r="D16" s="105">
        <f t="shared" si="2"/>
        <v>1.0232788883737554</v>
      </c>
      <c r="E16" s="105">
        <f t="shared" si="2"/>
        <v>1.0426859486098048</v>
      </c>
      <c r="F16" s="105">
        <f t="shared" si="2"/>
        <v>1.0459712805988191</v>
      </c>
      <c r="G16" s="105">
        <f t="shared" si="2"/>
        <v>1.0304118956584791</v>
      </c>
      <c r="H16" s="106">
        <f t="shared" si="2"/>
        <v>1.0322194492819183</v>
      </c>
    </row>
    <row r="17" spans="1:8" x14ac:dyDescent="0.2">
      <c r="A17" s="107"/>
      <c r="B17" s="397" t="s">
        <v>132</v>
      </c>
      <c r="C17" s="398"/>
      <c r="D17" s="398"/>
      <c r="E17" s="398"/>
      <c r="F17" s="398"/>
      <c r="G17" s="398"/>
      <c r="H17" s="399"/>
    </row>
    <row r="18" spans="1:8" x14ac:dyDescent="0.2">
      <c r="A18" s="99" t="s">
        <v>133</v>
      </c>
      <c r="B18" s="100" t="s">
        <v>134</v>
      </c>
      <c r="C18" s="103">
        <v>1.034</v>
      </c>
      <c r="D18" s="103">
        <v>1.034</v>
      </c>
      <c r="E18" s="103">
        <v>1.034</v>
      </c>
      <c r="F18" s="103">
        <v>1.034</v>
      </c>
      <c r="G18" s="103">
        <v>1.034</v>
      </c>
      <c r="H18" s="104">
        <f>IF(SUM(C18:G18)=0,0,AVERAGE(C18:G18))</f>
        <v>1.034</v>
      </c>
    </row>
    <row r="19" spans="1:8" x14ac:dyDescent="0.2">
      <c r="A19" s="107"/>
      <c r="B19" s="397" t="s">
        <v>135</v>
      </c>
      <c r="C19" s="398"/>
      <c r="D19" s="398"/>
      <c r="E19" s="398"/>
      <c r="F19" s="398"/>
      <c r="G19" s="398"/>
      <c r="H19" s="399"/>
    </row>
    <row r="20" spans="1:8" ht="13.5" thickBot="1" x14ac:dyDescent="0.25">
      <c r="A20" s="108" t="s">
        <v>136</v>
      </c>
      <c r="B20" s="109" t="s">
        <v>137</v>
      </c>
      <c r="C20" s="110">
        <f t="shared" ref="C20:H20" si="3">IF(C16="","",C16*C18)</f>
        <v>1.0541774598478884</v>
      </c>
      <c r="D20" s="110">
        <f t="shared" si="3"/>
        <v>1.0580703705784631</v>
      </c>
      <c r="E20" s="110">
        <f t="shared" si="3"/>
        <v>1.0781372708625381</v>
      </c>
      <c r="F20" s="110">
        <f t="shared" si="3"/>
        <v>1.0815343041391789</v>
      </c>
      <c r="G20" s="110">
        <f t="shared" si="3"/>
        <v>1.0654459001108674</v>
      </c>
      <c r="H20" s="111">
        <f t="shared" si="3"/>
        <v>1.0673149105575035</v>
      </c>
    </row>
  </sheetData>
  <mergeCells count="9">
    <mergeCell ref="B8:H8"/>
    <mergeCell ref="B17:H17"/>
    <mergeCell ref="B19:H19"/>
    <mergeCell ref="A1:H1"/>
    <mergeCell ref="A2:H2"/>
    <mergeCell ref="A4:H4"/>
    <mergeCell ref="A6:B7"/>
    <mergeCell ref="C6:G6"/>
    <mergeCell ref="H6:H7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pane xSplit="1" ySplit="3" topLeftCell="I51" activePane="bottomRight" state="frozen"/>
      <selection pane="topRight" activeCell="B1" sqref="B1"/>
      <selection pane="bottomLeft" activeCell="A4" sqref="A4"/>
      <selection pane="bottomRight" activeCell="K65" sqref="K65"/>
    </sheetView>
  </sheetViews>
  <sheetFormatPr defaultRowHeight="12.75" x14ac:dyDescent="0.2"/>
  <cols>
    <col min="1" max="1" width="32.7109375" customWidth="1"/>
    <col min="2" max="2" width="13.5703125" style="1" customWidth="1"/>
    <col min="3" max="3" width="12.7109375" style="1" customWidth="1"/>
    <col min="4" max="4" width="13" style="1" customWidth="1"/>
    <col min="5" max="5" width="12.7109375" style="1" bestFit="1" customWidth="1"/>
    <col min="6" max="7" width="12.85546875" style="1" customWidth="1"/>
    <col min="8" max="8" width="12.7109375" style="17" bestFit="1" customWidth="1"/>
    <col min="9" max="12" width="12.7109375" style="17" customWidth="1"/>
    <col min="13" max="13" width="12.5703125" style="1" customWidth="1"/>
    <col min="14" max="14" width="12.5703125" style="115" customWidth="1"/>
    <col min="15" max="15" width="2.140625" customWidth="1"/>
    <col min="16" max="16" width="14" customWidth="1"/>
    <col min="17" max="17" width="11.85546875" style="115" customWidth="1"/>
    <col min="18" max="18" width="13.5703125" customWidth="1"/>
    <col min="19" max="19" width="11.140625" bestFit="1" customWidth="1"/>
  </cols>
  <sheetData>
    <row r="1" spans="1:19" ht="15.75" x14ac:dyDescent="0.25">
      <c r="A1" s="32" t="s">
        <v>152</v>
      </c>
    </row>
    <row r="3" spans="1:19" ht="38.25" x14ac:dyDescent="0.2">
      <c r="B3" s="34" t="s">
        <v>51</v>
      </c>
      <c r="C3" s="34" t="s">
        <v>52</v>
      </c>
      <c r="D3" s="34" t="s">
        <v>53</v>
      </c>
      <c r="E3" s="34" t="s">
        <v>62</v>
      </c>
      <c r="F3" s="34" t="s">
        <v>64</v>
      </c>
      <c r="G3" s="34" t="s">
        <v>69</v>
      </c>
      <c r="H3" s="34" t="s">
        <v>107</v>
      </c>
      <c r="I3" s="34" t="s">
        <v>144</v>
      </c>
      <c r="J3" s="34" t="s">
        <v>145</v>
      </c>
      <c r="K3" s="34" t="s">
        <v>146</v>
      </c>
      <c r="L3" s="34" t="s">
        <v>154</v>
      </c>
      <c r="M3" s="34" t="s">
        <v>147</v>
      </c>
      <c r="N3" s="34" t="s">
        <v>155</v>
      </c>
      <c r="P3" s="34"/>
      <c r="Q3" s="34"/>
      <c r="R3" s="34"/>
      <c r="S3" s="30"/>
    </row>
    <row r="4" spans="1:19" x14ac:dyDescent="0.2">
      <c r="A4" s="14" t="s">
        <v>56</v>
      </c>
      <c r="B4" s="23" t="e">
        <f>'Purchased Power Model '!#REF!</f>
        <v>#REF!</v>
      </c>
      <c r="C4" s="23">
        <f>'Purchased Power Model '!B149</f>
        <v>213838930</v>
      </c>
      <c r="D4" s="23">
        <f>'Purchased Power Model '!B150</f>
        <v>271076220</v>
      </c>
      <c r="E4" s="23">
        <f>'Purchased Power Model '!B151</f>
        <v>262640600</v>
      </c>
      <c r="F4" s="23">
        <f>'Purchased Power Model '!B152</f>
        <v>248858578.46153846</v>
      </c>
      <c r="G4" s="23">
        <f>'Purchased Power Model '!B153</f>
        <v>261284907.69230774</v>
      </c>
      <c r="H4" s="44">
        <f>'Purchased Power Model '!B154</f>
        <v>255035715.38461539</v>
      </c>
      <c r="I4" s="44">
        <f>'Purchased Power Model '!B155</f>
        <v>246901827.27272725</v>
      </c>
      <c r="J4" s="44">
        <f>'Purchased Power Model '!B156</f>
        <v>247681431.06060606</v>
      </c>
      <c r="K4" s="44">
        <f>'Purchased Power Model '!B157</f>
        <v>249772655.12820518</v>
      </c>
      <c r="L4" s="44">
        <f>'Purchased Power Model '!B158</f>
        <v>247718853.84615383</v>
      </c>
    </row>
    <row r="5" spans="1:19" x14ac:dyDescent="0.2">
      <c r="A5" s="14" t="s">
        <v>57</v>
      </c>
      <c r="B5" s="23" t="e">
        <f>'Purchased Power Model '!#REF!</f>
        <v>#REF!</v>
      </c>
      <c r="C5" s="23">
        <f>'Purchased Power Model '!M149</f>
        <v>216201613.10727879</v>
      </c>
      <c r="D5" s="23">
        <f>'Purchased Power Model '!M150</f>
        <v>264854396.69680467</v>
      </c>
      <c r="E5" s="23">
        <f>'Purchased Power Model '!M151</f>
        <v>258505658.01721787</v>
      </c>
      <c r="F5" s="23">
        <f>'Purchased Power Model '!M152</f>
        <v>246911828.68177682</v>
      </c>
      <c r="G5" s="23">
        <f>'Purchased Power Model '!M153</f>
        <v>255572915.31708446</v>
      </c>
      <c r="H5" s="44">
        <f>'Purchased Power Model '!M154</f>
        <v>257456890.58217561</v>
      </c>
      <c r="I5" s="44">
        <f>'Purchased Power Model '!M155</f>
        <v>253403283.71799523</v>
      </c>
      <c r="J5" s="44">
        <f>'Purchased Power Model '!M156</f>
        <v>251372242.30991054</v>
      </c>
      <c r="K5" s="44">
        <f>'Purchased Power Model '!M157</f>
        <v>252824165.03788921</v>
      </c>
      <c r="L5" s="44">
        <f>'Purchased Power Model '!M158</f>
        <v>247706725.37802175</v>
      </c>
      <c r="M5" s="23">
        <f>'Purchased Power Model '!M159</f>
        <v>250793261.8765212</v>
      </c>
      <c r="N5" s="23">
        <f>'Purchased Power Model '!M160</f>
        <v>249155391.88324183</v>
      </c>
    </row>
    <row r="6" spans="1:19" x14ac:dyDescent="0.2">
      <c r="A6" s="14" t="s">
        <v>10</v>
      </c>
      <c r="B6" s="33" t="e">
        <f t="shared" ref="B6:J6" si="0">(B5-B4)/B4</f>
        <v>#REF!</v>
      </c>
      <c r="C6" s="33">
        <f t="shared" si="0"/>
        <v>1.1048891365472106E-2</v>
      </c>
      <c r="D6" s="33">
        <f t="shared" si="0"/>
        <v>-2.2952302135522355E-2</v>
      </c>
      <c r="E6" s="33">
        <f t="shared" si="0"/>
        <v>-1.5743727294188811E-2</v>
      </c>
      <c r="F6" s="33">
        <f t="shared" si="0"/>
        <v>-7.8227151814359332E-3</v>
      </c>
      <c r="G6" s="33">
        <f t="shared" si="0"/>
        <v>-2.1861164602548687E-2</v>
      </c>
      <c r="H6" s="33">
        <f t="shared" si="0"/>
        <v>9.49347503705073E-3</v>
      </c>
      <c r="I6" s="33">
        <f t="shared" si="0"/>
        <v>2.6332152001801428E-2</v>
      </c>
      <c r="J6" s="33">
        <f t="shared" si="0"/>
        <v>1.4901445108339007E-2</v>
      </c>
      <c r="K6" s="33">
        <f>(K5-K4)/K4</f>
        <v>1.2217149664032399E-2</v>
      </c>
      <c r="L6" s="33">
        <f>(L5-L4)/L4</f>
        <v>-4.8960617828512362E-5</v>
      </c>
      <c r="N6" s="36"/>
      <c r="O6" s="37"/>
      <c r="P6" s="25"/>
      <c r="Q6" s="17"/>
      <c r="R6" s="25"/>
    </row>
    <row r="7" spans="1:19" x14ac:dyDescent="0.2">
      <c r="A7" s="14" t="s">
        <v>148</v>
      </c>
      <c r="B7" s="33"/>
      <c r="C7" s="33"/>
      <c r="D7" s="33"/>
      <c r="E7" s="33"/>
      <c r="F7" s="33"/>
      <c r="G7" s="146"/>
      <c r="H7" s="146"/>
      <c r="I7" s="33"/>
      <c r="J7" s="146"/>
      <c r="L7" s="147"/>
      <c r="M7" s="147">
        <f>-'Rate Class Energy Model'!G71*'Rate Class Energy Model'!F20</f>
        <v>-1637743.9797252617</v>
      </c>
      <c r="N7" s="147">
        <f>-'Rate Class Energy Model'!G72*'Rate Class Energy Model'!F20</f>
        <v>-3583567.0853421744</v>
      </c>
    </row>
    <row r="8" spans="1:19" x14ac:dyDescent="0.2">
      <c r="A8" s="14" t="s">
        <v>149</v>
      </c>
      <c r="B8" s="33"/>
      <c r="C8" s="33"/>
      <c r="D8" s="33"/>
      <c r="E8" s="33"/>
      <c r="F8" s="33"/>
      <c r="G8" s="146"/>
      <c r="H8" s="146"/>
      <c r="I8" s="33"/>
      <c r="J8" s="146"/>
      <c r="M8" s="44">
        <f>M5+M7</f>
        <v>249155517.89679593</v>
      </c>
      <c r="N8" s="44">
        <f>N5+N7</f>
        <v>245571824.79789966</v>
      </c>
    </row>
    <row r="9" spans="1:19" x14ac:dyDescent="0.2">
      <c r="A9" s="14"/>
      <c r="B9" s="30"/>
      <c r="C9" s="30"/>
      <c r="D9" s="30"/>
      <c r="E9" s="30"/>
      <c r="F9" s="30"/>
      <c r="G9" s="30"/>
      <c r="H9" s="43"/>
      <c r="I9" s="43"/>
      <c r="J9" s="43"/>
      <c r="K9" s="43"/>
      <c r="L9" s="43"/>
    </row>
    <row r="10" spans="1:19" x14ac:dyDescent="0.2">
      <c r="A10" s="14" t="s">
        <v>59</v>
      </c>
      <c r="B10" s="23" t="e">
        <f>'Rate Class Energy Model'!#REF!</f>
        <v>#REF!</v>
      </c>
      <c r="C10" s="23">
        <f>'Rate Class Energy Model'!G7</f>
        <v>198488137.87</v>
      </c>
      <c r="D10" s="23">
        <f>'Rate Class Energy Model'!G8</f>
        <v>257563114.73999998</v>
      </c>
      <c r="E10" s="23">
        <f>'Rate Class Energy Model'!G9</f>
        <v>248215770.31</v>
      </c>
      <c r="F10" s="23">
        <f>'Rate Class Energy Model'!G10</f>
        <v>233076331.52177987</v>
      </c>
      <c r="G10" s="23">
        <f>'Rate Class Energy Model'!G11</f>
        <v>238502359.82732242</v>
      </c>
      <c r="H10" s="44">
        <f>'Rate Class Energy Model'!G12</f>
        <v>241928636.40000001</v>
      </c>
      <c r="I10" s="44">
        <f>'Rate Class Energy Model'!G13</f>
        <v>233351045.58096856</v>
      </c>
      <c r="J10" s="44">
        <f>'Rate Class Energy Model'!G14</f>
        <v>229730886.55255783</v>
      </c>
      <c r="K10" s="44">
        <f>'Rate Class Energy Model'!G15</f>
        <v>230942887.5</v>
      </c>
      <c r="L10" s="44">
        <f>'Rate Class Energy Model'!G16</f>
        <v>232502517.32197464</v>
      </c>
      <c r="M10" s="23">
        <f>'Rate Class Energy Model'!O58</f>
        <v>233105737.22604215</v>
      </c>
      <c r="N10" s="23">
        <f>'Rate Class Energy Model'!O59</f>
        <v>229752893.87397906</v>
      </c>
    </row>
    <row r="11" spans="1:19" x14ac:dyDescent="0.2">
      <c r="A11" s="14"/>
      <c r="B11" s="30"/>
      <c r="C11" s="30"/>
      <c r="D11" s="30"/>
      <c r="F11" s="17"/>
      <c r="G11" s="17"/>
    </row>
    <row r="12" spans="1:19" ht="15.75" x14ac:dyDescent="0.25">
      <c r="A12" s="32" t="s">
        <v>58</v>
      </c>
    </row>
    <row r="13" spans="1:19" x14ac:dyDescent="0.2">
      <c r="A13" s="31" t="str">
        <f>'Rate Class Energy Model'!H2</f>
        <v>Residential</v>
      </c>
    </row>
    <row r="14" spans="1:19" x14ac:dyDescent="0.2">
      <c r="A14" t="s">
        <v>48</v>
      </c>
      <c r="B14" s="6">
        <f>'Rate Class Customer Model'!B3</f>
        <v>9413.3235050216535</v>
      </c>
      <c r="C14" s="6">
        <f>'Rate Class Customer Model'!B4</f>
        <v>9496.8001474246739</v>
      </c>
      <c r="D14" s="6">
        <f>'Rate Class Customer Model'!B5</f>
        <v>9580.7208145213299</v>
      </c>
      <c r="E14" s="6">
        <f>'Rate Class Customer Model'!B6</f>
        <v>9629.1195061273374</v>
      </c>
      <c r="F14" s="6">
        <f>'Rate Class Customer Model'!B7</f>
        <v>9740.5</v>
      </c>
      <c r="G14" s="6">
        <f>'Rate Class Customer Model'!B8</f>
        <v>9871</v>
      </c>
      <c r="H14" s="21">
        <f>'Rate Class Customer Model'!B9</f>
        <v>9931.5</v>
      </c>
      <c r="I14" s="21">
        <f>'Rate Class Customer Model'!B10</f>
        <v>10007.5</v>
      </c>
      <c r="J14" s="21">
        <f>'Rate Class Customer Model'!B11</f>
        <v>10082.5</v>
      </c>
      <c r="K14" s="21">
        <f>'Rate Class Customer Model'!B12</f>
        <v>10153.5</v>
      </c>
      <c r="L14" s="21">
        <f>'Rate Class Customer Model'!B13</f>
        <v>10217.5</v>
      </c>
      <c r="M14" s="6">
        <f>'Rate Class Customer Model'!B14</f>
        <v>10301.603081592852</v>
      </c>
      <c r="N14" s="6">
        <f>'Rate Class Customer Model'!B15</f>
        <v>10386.398439019657</v>
      </c>
      <c r="P14" s="149"/>
      <c r="Q14" s="174"/>
      <c r="R14" s="148"/>
    </row>
    <row r="15" spans="1:19" x14ac:dyDescent="0.2">
      <c r="A15" t="s">
        <v>49</v>
      </c>
      <c r="B15" s="6" t="e">
        <f>'Rate Class Energy Model'!#REF!</f>
        <v>#REF!</v>
      </c>
      <c r="C15" s="6">
        <f>'Rate Class Energy Model'!H7</f>
        <v>91182112</v>
      </c>
      <c r="D15" s="6">
        <f>'Rate Class Energy Model'!H8</f>
        <v>93919803</v>
      </c>
      <c r="E15" s="6">
        <f>'Rate Class Energy Model'!H9</f>
        <v>91598924</v>
      </c>
      <c r="F15" s="6">
        <f>'Rate Class Energy Model'!H10</f>
        <v>89480942</v>
      </c>
      <c r="G15" s="6">
        <f>'Rate Class Energy Model'!H11</f>
        <v>94261084</v>
      </c>
      <c r="H15" s="21">
        <f>'Rate Class Energy Model'!H12</f>
        <v>91775630</v>
      </c>
      <c r="I15" s="21">
        <f>'Rate Class Energy Model'!H13</f>
        <v>90281488</v>
      </c>
      <c r="J15" s="21">
        <f>'Rate Class Energy Model'!H14</f>
        <v>88791227</v>
      </c>
      <c r="K15" s="21">
        <f>'Rate Class Energy Model'!H15</f>
        <v>89130958</v>
      </c>
      <c r="L15" s="21">
        <f>'Rate Class Energy Model'!H16</f>
        <v>90749018</v>
      </c>
      <c r="M15" s="6">
        <f>'Rate Class Energy Model'!H58</f>
        <v>92479879.620842174</v>
      </c>
      <c r="N15" s="6">
        <f>'Rate Class Energy Model'!H59</f>
        <v>92079767.015226617</v>
      </c>
      <c r="P15" s="150"/>
      <c r="Q15" s="174"/>
      <c r="R15" s="148"/>
    </row>
    <row r="16" spans="1:19" x14ac:dyDescent="0.2">
      <c r="E16" s="37"/>
      <c r="F16" s="17"/>
      <c r="G16" s="17"/>
      <c r="N16" s="36"/>
    </row>
    <row r="17" spans="1:19" x14ac:dyDescent="0.2">
      <c r="A17" s="31" t="str">
        <f>'Rate Class Energy Model'!I2</f>
        <v>GS&lt;50</v>
      </c>
    </row>
    <row r="18" spans="1:19" x14ac:dyDescent="0.2">
      <c r="A18" t="s">
        <v>48</v>
      </c>
      <c r="B18" s="6">
        <f>'Rate Class Customer Model'!C3</f>
        <v>1071.4272551368285</v>
      </c>
      <c r="C18" s="6">
        <f>'Rate Class Customer Model'!C4</f>
        <v>1080.9285911729476</v>
      </c>
      <c r="D18" s="6">
        <f>'Rate Class Customer Model'!C5</f>
        <v>1090.4804662305355</v>
      </c>
      <c r="E18" s="6">
        <f>'Rate Class Customer Model'!C6</f>
        <v>1095.9892195706257</v>
      </c>
      <c r="F18" s="6">
        <f>'Rate Class Customer Model'!C7</f>
        <v>1121.5</v>
      </c>
      <c r="G18" s="6">
        <f>'Rate Class Customer Model'!C8</f>
        <v>1166.5</v>
      </c>
      <c r="H18" s="21">
        <f>'Rate Class Customer Model'!C9</f>
        <v>1194</v>
      </c>
      <c r="I18" s="21">
        <f>'Rate Class Customer Model'!C10</f>
        <v>1205</v>
      </c>
      <c r="J18" s="21">
        <f>'Rate Class Customer Model'!C11</f>
        <v>1207.5</v>
      </c>
      <c r="K18" s="21">
        <f>'Rate Class Customer Model'!C12</f>
        <v>1214.5</v>
      </c>
      <c r="L18" s="21">
        <f>'Rate Class Customer Model'!C13</f>
        <v>1221</v>
      </c>
      <c r="M18" s="6">
        <f>'Rate Class Customer Model'!C14</f>
        <v>1237.0605612126985</v>
      </c>
      <c r="N18" s="6">
        <f>'Rate Class Customer Model'!C15</f>
        <v>1253.3323768287278</v>
      </c>
      <c r="P18" s="149"/>
      <c r="Q18" s="174"/>
      <c r="R18" s="148"/>
    </row>
    <row r="19" spans="1:19" x14ac:dyDescent="0.2">
      <c r="A19" t="s">
        <v>49</v>
      </c>
      <c r="B19" s="6" t="e">
        <f>'Rate Class Energy Model'!#REF!</f>
        <v>#REF!</v>
      </c>
      <c r="C19" s="6">
        <f>'Rate Class Energy Model'!I7</f>
        <v>27522033</v>
      </c>
      <c r="D19" s="6">
        <f>'Rate Class Energy Model'!I8</f>
        <v>27486362</v>
      </c>
      <c r="E19" s="6">
        <f>'Rate Class Energy Model'!I9</f>
        <v>27305136</v>
      </c>
      <c r="F19" s="6">
        <f>'Rate Class Energy Model'!I10</f>
        <v>27046725</v>
      </c>
      <c r="G19" s="6">
        <f>'Rate Class Energy Model'!I11</f>
        <v>27843390</v>
      </c>
      <c r="H19" s="6">
        <f>'Rate Class Energy Model'!I12</f>
        <v>30635475</v>
      </c>
      <c r="I19" s="6">
        <f>'Rate Class Energy Model'!I13</f>
        <v>29408826</v>
      </c>
      <c r="J19" s="6">
        <f>'Rate Class Energy Model'!I14</f>
        <v>28921439</v>
      </c>
      <c r="K19" s="6">
        <f>'Rate Class Energy Model'!I15</f>
        <v>29746584</v>
      </c>
      <c r="L19" s="6">
        <f>'Rate Class Energy Model'!I16</f>
        <v>28622003</v>
      </c>
      <c r="M19" s="6">
        <f>'Rate Class Energy Model'!I58</f>
        <v>29223413.333587732</v>
      </c>
      <c r="N19" s="6">
        <f>'Rate Class Energy Model'!I59</f>
        <v>29137273.513669658</v>
      </c>
      <c r="P19" s="150"/>
      <c r="Q19" s="174"/>
      <c r="R19" s="148"/>
    </row>
    <row r="20" spans="1:19" x14ac:dyDescent="0.2">
      <c r="E20" s="37"/>
      <c r="F20" s="17"/>
      <c r="G20" s="17"/>
      <c r="N20" s="36"/>
    </row>
    <row r="21" spans="1:19" x14ac:dyDescent="0.2">
      <c r="A21" s="31" t="str">
        <f>'Rate Class Energy Model'!J2</f>
        <v>GS&gt;50</v>
      </c>
      <c r="M21" s="6"/>
      <c r="N21" s="6"/>
    </row>
    <row r="22" spans="1:19" x14ac:dyDescent="0.2">
      <c r="A22" t="s">
        <v>48</v>
      </c>
      <c r="B22" s="6">
        <f>'Rate Class Customer Model'!D3</f>
        <v>107.43573205565281</v>
      </c>
      <c r="C22" s="6">
        <f>'Rate Class Customer Model'!D4</f>
        <v>108.38846401916521</v>
      </c>
      <c r="D22" s="6">
        <f>'Rate Class Customer Model'!D5</f>
        <v>109.34626370588776</v>
      </c>
      <c r="E22" s="6">
        <f>'Rate Class Customer Model'!D6</f>
        <v>109.89864553579656</v>
      </c>
      <c r="F22" s="6">
        <f>'Rate Class Customer Model'!D7</f>
        <v>112.5</v>
      </c>
      <c r="G22" s="6">
        <f>'Rate Class Customer Model'!D8</f>
        <v>107.5</v>
      </c>
      <c r="H22" s="21">
        <f>'Rate Class Customer Model'!D9</f>
        <v>95</v>
      </c>
      <c r="I22" s="21">
        <f>'Rate Class Customer Model'!D10</f>
        <v>89</v>
      </c>
      <c r="J22" s="21">
        <f>'Rate Class Customer Model'!D11</f>
        <v>89</v>
      </c>
      <c r="K22" s="21">
        <f>'Rate Class Customer Model'!D12</f>
        <v>90</v>
      </c>
      <c r="L22" s="21">
        <f>'Rate Class Customer Model'!D13</f>
        <v>92.5</v>
      </c>
      <c r="M22" s="6">
        <f>'Rate Class Customer Model'!D14</f>
        <v>92.5</v>
      </c>
      <c r="N22" s="6">
        <f>'Rate Class Customer Model'!D15</f>
        <v>92.5</v>
      </c>
      <c r="P22" s="149"/>
      <c r="Q22" s="174"/>
      <c r="R22" s="148"/>
    </row>
    <row r="23" spans="1:19" x14ac:dyDescent="0.2">
      <c r="A23" t="s">
        <v>49</v>
      </c>
      <c r="B23" s="6" t="e">
        <f>'Rate Class Energy Model'!#REF!</f>
        <v>#REF!</v>
      </c>
      <c r="C23" s="6">
        <f>'Rate Class Energy Model'!J7</f>
        <v>77078801</v>
      </c>
      <c r="D23" s="6">
        <f>'Rate Class Energy Model'!J8</f>
        <v>70538573</v>
      </c>
      <c r="E23" s="6">
        <f>'Rate Class Energy Model'!J9</f>
        <v>71763589</v>
      </c>
      <c r="F23" s="6">
        <f>'Rate Class Energy Model'!J10</f>
        <v>63032184</v>
      </c>
      <c r="G23" s="6">
        <f>'Rate Class Energy Model'!J11</f>
        <v>65599183</v>
      </c>
      <c r="H23" s="6">
        <f>'Rate Class Energy Model'!J12</f>
        <v>64324224</v>
      </c>
      <c r="I23" s="6">
        <f>'Rate Class Energy Model'!J13</f>
        <v>60934472.188461378</v>
      </c>
      <c r="J23" s="6">
        <f>'Rate Class Energy Model'!J14</f>
        <v>59427521.597267792</v>
      </c>
      <c r="K23" s="6">
        <f>'Rate Class Energy Model'!J15</f>
        <v>57346380</v>
      </c>
      <c r="L23" s="6">
        <f>'Rate Class Energy Model'!J16</f>
        <v>62304426.670519009</v>
      </c>
      <c r="M23" s="6">
        <f>'Rate Class Energy Model'!J58</f>
        <v>62116820.189978786</v>
      </c>
      <c r="N23" s="6">
        <f>'Rate Class Energy Model'!J59</f>
        <v>60741787.912906595</v>
      </c>
      <c r="P23" s="150"/>
      <c r="R23" s="148"/>
      <c r="S23" s="6"/>
    </row>
    <row r="24" spans="1:19" x14ac:dyDescent="0.2">
      <c r="A24" t="s">
        <v>50</v>
      </c>
      <c r="B24" s="6" t="e">
        <f>'Rate Class Load Model'!#REF!</f>
        <v>#REF!</v>
      </c>
      <c r="C24" s="6">
        <f>'Rate Class Load Model'!B2</f>
        <v>241320.97999999998</v>
      </c>
      <c r="D24" s="6">
        <f>'Rate Class Load Model'!B3</f>
        <v>218224.88999999998</v>
      </c>
      <c r="E24" s="6">
        <f>'Rate Class Load Model'!B4</f>
        <v>209582.87</v>
      </c>
      <c r="F24" s="6">
        <f>'Rate Class Load Model'!B5</f>
        <v>207445.1</v>
      </c>
      <c r="G24" s="21">
        <f>'Rate Class Load Model'!B6</f>
        <v>200282.5</v>
      </c>
      <c r="H24" s="6">
        <f>'Rate Class Load Model'!B7</f>
        <v>195460.9</v>
      </c>
      <c r="I24" s="6">
        <f>'Rate Class Load Model'!B8</f>
        <v>186873.8</v>
      </c>
      <c r="J24" s="6">
        <f>'Rate Class Load Model'!B9</f>
        <v>181892.6</v>
      </c>
      <c r="K24" s="6">
        <f>'Rate Class Load Model'!B10</f>
        <v>186325.9</v>
      </c>
      <c r="L24" s="6">
        <f>'Rate Class Load Model'!B11</f>
        <v>195328</v>
      </c>
      <c r="M24" s="6">
        <f>'Rate Class Load Model'!B12</f>
        <v>192808.33579213487</v>
      </c>
      <c r="N24" s="6">
        <f>'Rate Class Load Model'!B13</f>
        <v>188540.28594360882</v>
      </c>
      <c r="P24" s="150"/>
      <c r="Q24" s="174"/>
      <c r="R24" s="148"/>
      <c r="S24" s="6"/>
    </row>
    <row r="25" spans="1:19" x14ac:dyDescent="0.2">
      <c r="E25" s="37"/>
      <c r="F25" s="17"/>
      <c r="G25" s="17"/>
    </row>
    <row r="26" spans="1:19" x14ac:dyDescent="0.2">
      <c r="A26" s="31" t="str">
        <f>'Rate Class Energy Model'!K2</f>
        <v>Streetlights</v>
      </c>
      <c r="M26" s="6"/>
    </row>
    <row r="27" spans="1:19" x14ac:dyDescent="0.2">
      <c r="A27" t="s">
        <v>48</v>
      </c>
      <c r="B27" s="6">
        <f>'Rate Class Customer Model'!E3</f>
        <v>2735.5</v>
      </c>
      <c r="C27" s="6">
        <f>'Rate Class Customer Model'!E4</f>
        <v>2744.5</v>
      </c>
      <c r="D27" s="6">
        <f>'Rate Class Customer Model'!E5</f>
        <v>2753.5</v>
      </c>
      <c r="E27" s="6">
        <f>'Rate Class Customer Model'!E6</f>
        <v>2762.5</v>
      </c>
      <c r="F27" s="6">
        <f>'Rate Class Customer Model'!E7</f>
        <v>2771.5</v>
      </c>
      <c r="G27" s="6">
        <f>'Rate Class Customer Model'!E8</f>
        <v>2780.5</v>
      </c>
      <c r="H27" s="21">
        <f>'Rate Class Customer Model'!E9</f>
        <v>2789.5</v>
      </c>
      <c r="I27" s="21">
        <f>'Rate Class Customer Model'!E10</f>
        <v>2798.5</v>
      </c>
      <c r="J27" s="21">
        <f>'Rate Class Customer Model'!E11</f>
        <v>2807.5</v>
      </c>
      <c r="K27" s="21">
        <f>'Rate Class Customer Model'!E12</f>
        <v>2816.5</v>
      </c>
      <c r="L27" s="21">
        <f>'Rate Class Customer Model'!E13</f>
        <v>2825.5</v>
      </c>
      <c r="M27" s="6">
        <f>'Rate Class Customer Model'!E14</f>
        <v>2825.5</v>
      </c>
      <c r="N27" s="6">
        <f>'Rate Class Customer Model'!E15</f>
        <v>2825.5</v>
      </c>
      <c r="P27" s="149"/>
      <c r="Q27" s="174"/>
      <c r="R27" s="148"/>
    </row>
    <row r="28" spans="1:19" x14ac:dyDescent="0.2">
      <c r="A28" t="s">
        <v>49</v>
      </c>
      <c r="B28" s="6" t="e">
        <f>'Rate Class Energy Model'!#REF!</f>
        <v>#REF!</v>
      </c>
      <c r="C28" s="6">
        <f>'Rate Class Energy Model'!K7</f>
        <v>2249664.87</v>
      </c>
      <c r="D28" s="6">
        <f>'Rate Class Energy Model'!K8</f>
        <v>2409617.98</v>
      </c>
      <c r="E28" s="6">
        <f>'Rate Class Energy Model'!K9</f>
        <v>2296058.59</v>
      </c>
      <c r="F28" s="6">
        <f>'Rate Class Energy Model'!K10</f>
        <v>2082393</v>
      </c>
      <c r="G28" s="6">
        <f>'Rate Class Energy Model'!K11</f>
        <v>2409951</v>
      </c>
      <c r="H28" s="6">
        <f>'Rate Class Energy Model'!K12</f>
        <v>2245234</v>
      </c>
      <c r="I28" s="6">
        <f>'Rate Class Energy Model'!K13</f>
        <v>2346377.4925071769</v>
      </c>
      <c r="J28" s="6">
        <f>'Rate Class Energy Model'!K14</f>
        <v>2512897.9552900312</v>
      </c>
      <c r="K28" s="6">
        <f>'Rate Class Energy Model'!K15</f>
        <v>2302093</v>
      </c>
      <c r="L28" s="6">
        <f>'Rate Class Energy Model'!K16</f>
        <v>2368288.5914556528</v>
      </c>
      <c r="M28" s="6">
        <f>'Rate Class Energy Model'!K58</f>
        <v>2374163.9315875084</v>
      </c>
      <c r="N28" s="6">
        <f>'Rate Class Energy Model'!K59</f>
        <v>2380053.8474859283</v>
      </c>
      <c r="P28" s="150"/>
      <c r="R28" s="148"/>
      <c r="S28" s="6"/>
    </row>
    <row r="29" spans="1:19" x14ac:dyDescent="0.2">
      <c r="A29" t="s">
        <v>50</v>
      </c>
      <c r="B29" s="6" t="e">
        <f>'Rate Class Load Model'!#REF!</f>
        <v>#REF!</v>
      </c>
      <c r="C29" s="6">
        <f>'Rate Class Load Model'!C2</f>
        <v>5909.57</v>
      </c>
      <c r="D29" s="6">
        <f>'Rate Class Load Model'!C3</f>
        <v>6520.95</v>
      </c>
      <c r="E29" s="6">
        <f>'Rate Class Load Model'!C4</f>
        <v>6487.4</v>
      </c>
      <c r="F29" s="6">
        <f>'Rate Class Load Model'!C5</f>
        <v>5753.6</v>
      </c>
      <c r="G29" s="21">
        <f>'Rate Class Load Model'!C6</f>
        <v>6759.3</v>
      </c>
      <c r="H29" s="6">
        <f>'Rate Class Load Model'!C7</f>
        <v>5760</v>
      </c>
      <c r="I29" s="6">
        <f>'Rate Class Load Model'!C8</f>
        <v>6353.7</v>
      </c>
      <c r="J29" s="6">
        <f>'Rate Class Load Model'!C9</f>
        <v>6799.3</v>
      </c>
      <c r="K29" s="6">
        <f>'Rate Class Load Model'!C10</f>
        <v>6450</v>
      </c>
      <c r="L29" s="6">
        <f>'Rate Class Load Model'!C11</f>
        <v>6398</v>
      </c>
      <c r="M29" s="6">
        <f>'Rate Class Load Model'!C12</f>
        <v>6459.7804117359783</v>
      </c>
      <c r="N29" s="6">
        <f>'Rate Class Load Model'!C13</f>
        <v>6475.806079905381</v>
      </c>
      <c r="P29" s="150"/>
      <c r="Q29" s="174"/>
      <c r="R29" s="148"/>
      <c r="S29" s="338"/>
    </row>
    <row r="30" spans="1:19" x14ac:dyDescent="0.2">
      <c r="E30" s="37"/>
      <c r="F30" s="17"/>
      <c r="G30" s="17"/>
      <c r="N30" s="36"/>
    </row>
    <row r="31" spans="1:19" x14ac:dyDescent="0.2">
      <c r="A31" s="31" t="str">
        <f>'Rate Class Energy Model'!L2</f>
        <v>Unmetered Scattered Load</v>
      </c>
      <c r="M31" s="6"/>
      <c r="N31" s="6"/>
    </row>
    <row r="32" spans="1:19" x14ac:dyDescent="0.2">
      <c r="A32" t="s">
        <v>65</v>
      </c>
      <c r="B32" s="6">
        <f>'Rate Class Customer Model'!F3</f>
        <v>35.5</v>
      </c>
      <c r="C32" s="6">
        <f>'Rate Class Customer Model'!F4</f>
        <v>35</v>
      </c>
      <c r="D32" s="6">
        <f>'Rate Class Customer Model'!F5</f>
        <v>34.5</v>
      </c>
      <c r="E32" s="6">
        <f>'Rate Class Customer Model'!F6</f>
        <v>34</v>
      </c>
      <c r="F32" s="6">
        <f>'Rate Class Customer Model'!F7</f>
        <v>34</v>
      </c>
      <c r="G32" s="21">
        <f>'Rate Class Customer Model'!F8</f>
        <v>33.5</v>
      </c>
      <c r="H32" s="6">
        <f>'Rate Class Customer Model'!F9</f>
        <v>32.5</v>
      </c>
      <c r="I32" s="6">
        <f>'Rate Class Customer Model'!F10</f>
        <v>31.5</v>
      </c>
      <c r="J32" s="6">
        <f>'Rate Class Customer Model'!F10</f>
        <v>31.5</v>
      </c>
      <c r="K32" s="6">
        <f>'Rate Class Customer Model'!F12</f>
        <v>31</v>
      </c>
      <c r="L32" s="6">
        <f>'Rate Class Customer Model'!F13</f>
        <v>31</v>
      </c>
      <c r="M32" s="6">
        <f>'Rate Class Customer Model'!F14</f>
        <v>31</v>
      </c>
      <c r="N32" s="6">
        <f>'Rate Class Customer Model'!F15</f>
        <v>31</v>
      </c>
      <c r="P32" s="149"/>
      <c r="Q32" s="174"/>
      <c r="R32" s="148"/>
    </row>
    <row r="33" spans="1:19" x14ac:dyDescent="0.2">
      <c r="A33" t="s">
        <v>49</v>
      </c>
      <c r="B33" s="6" t="e">
        <f>'Rate Class Energy Model'!#REF!</f>
        <v>#REF!</v>
      </c>
      <c r="C33" s="6">
        <f>'Rate Class Energy Model'!L7</f>
        <v>267964</v>
      </c>
      <c r="D33" s="6">
        <f>'Rate Class Energy Model'!L8</f>
        <v>428118</v>
      </c>
      <c r="E33" s="6">
        <f>'Rate Class Energy Model'!L9</f>
        <v>293947</v>
      </c>
      <c r="F33" s="6">
        <f>'Rate Class Energy Model'!L10</f>
        <v>285456</v>
      </c>
      <c r="G33" s="6">
        <f>'Rate Class Energy Model'!L11</f>
        <v>275513</v>
      </c>
      <c r="H33" s="6">
        <f>'Rate Class Energy Model'!L12</f>
        <v>201696</v>
      </c>
      <c r="I33" s="6">
        <f>'Rate Class Energy Model'!L13</f>
        <v>262229</v>
      </c>
      <c r="J33" s="6">
        <f>'Rate Class Energy Model'!L14</f>
        <v>260597</v>
      </c>
      <c r="K33" s="6">
        <f>'Rate Class Energy Model'!L15</f>
        <v>259677</v>
      </c>
      <c r="L33" s="6">
        <f>'Rate Class Energy Model'!L16</f>
        <v>259607</v>
      </c>
      <c r="M33" s="6">
        <f>'Rate Class Energy Model'!L58</f>
        <v>262206.68799682555</v>
      </c>
      <c r="N33" s="6">
        <f>'Rate Class Energy Model'!L59</f>
        <v>264832.40910400957</v>
      </c>
      <c r="P33" s="150"/>
      <c r="Q33" s="174"/>
      <c r="R33" s="148"/>
      <c r="S33" s="6"/>
    </row>
    <row r="34" spans="1:19" x14ac:dyDescent="0.2">
      <c r="B34" s="6"/>
      <c r="C34" s="6"/>
      <c r="D34" s="6"/>
      <c r="E34" s="6"/>
      <c r="F34" s="6"/>
      <c r="G34" s="6"/>
      <c r="H34" s="21"/>
      <c r="I34" s="21"/>
      <c r="J34" s="21"/>
      <c r="L34" s="21"/>
      <c r="N34" s="6"/>
    </row>
    <row r="35" spans="1:19" x14ac:dyDescent="0.2">
      <c r="A35" s="31" t="str">
        <f>'Rate Class Energy Model'!M2</f>
        <v>Sentinel Lights</v>
      </c>
      <c r="M35" s="6"/>
      <c r="N35" s="6"/>
    </row>
    <row r="36" spans="1:19" x14ac:dyDescent="0.2">
      <c r="A36" t="s">
        <v>65</v>
      </c>
      <c r="B36" s="6">
        <f>'Rate Class Customer Model'!G3</f>
        <v>127</v>
      </c>
      <c r="C36" s="6">
        <f>'Rate Class Customer Model'!G4</f>
        <v>105</v>
      </c>
      <c r="D36" s="6">
        <f>'Rate Class Customer Model'!G5</f>
        <v>83</v>
      </c>
      <c r="E36" s="6">
        <f>'Rate Class Customer Model'!G6</f>
        <v>61</v>
      </c>
      <c r="F36" s="6">
        <f>'Rate Class Customer Model'!G7</f>
        <v>39</v>
      </c>
      <c r="G36" s="21">
        <f>'Rate Class Customer Model'!G8</f>
        <v>17.5</v>
      </c>
      <c r="H36" s="6">
        <f>'Rate Class Customer Model'!G9</f>
        <v>7</v>
      </c>
      <c r="I36" s="6">
        <f>'Rate Class Customer Model'!G10</f>
        <v>7</v>
      </c>
      <c r="J36" s="6">
        <f>'Rate Class Customer Model'!G11</f>
        <v>7</v>
      </c>
      <c r="K36" s="6">
        <f>'Rate Class Customer Model'!G12</f>
        <v>7</v>
      </c>
      <c r="L36" s="6">
        <f>'Rate Class Customer Model'!G13</f>
        <v>7</v>
      </c>
      <c r="M36" s="6">
        <f>'Rate Class Customer Model'!G14</f>
        <v>7</v>
      </c>
      <c r="N36" s="6">
        <f>'Rate Class Customer Model'!G15</f>
        <v>7</v>
      </c>
      <c r="P36" s="149"/>
      <c r="Q36" s="174"/>
      <c r="R36" s="148"/>
    </row>
    <row r="37" spans="1:19" x14ac:dyDescent="0.2">
      <c r="A37" t="s">
        <v>49</v>
      </c>
      <c r="B37" s="6" t="e">
        <f>'Rate Class Energy Model'!#REF!</f>
        <v>#REF!</v>
      </c>
      <c r="C37" s="6">
        <f>'Rate Class Energy Model'!M7</f>
        <v>187563</v>
      </c>
      <c r="D37" s="6">
        <f>'Rate Class Energy Model'!M8</f>
        <v>182802</v>
      </c>
      <c r="E37" s="6">
        <f>'Rate Class Energy Model'!M9</f>
        <v>93339</v>
      </c>
      <c r="F37" s="6">
        <f>'Rate Class Energy Model'!M10</f>
        <v>50856.121779859481</v>
      </c>
      <c r="G37" s="6">
        <f>'Rate Class Energy Model'!M11</f>
        <v>18862.52732240437</v>
      </c>
      <c r="H37" s="6">
        <f>'Rate Class Energy Model'!M12</f>
        <v>5962</v>
      </c>
      <c r="I37" s="6">
        <f>'Rate Class Energy Model'!M13</f>
        <v>5962</v>
      </c>
      <c r="J37" s="6">
        <f>'Rate Class Energy Model'!M14</f>
        <v>5962</v>
      </c>
      <c r="K37" s="6">
        <f>'Rate Class Energy Model'!M15</f>
        <v>5962</v>
      </c>
      <c r="L37" s="6">
        <f>'Rate Class Energy Model'!M16</f>
        <v>5962</v>
      </c>
      <c r="M37" s="45">
        <f>'Rate Class Energy Model'!M58</f>
        <v>5962</v>
      </c>
      <c r="N37" s="45">
        <f>'Rate Class Energy Model'!M59</f>
        <v>5962</v>
      </c>
      <c r="P37" s="150"/>
      <c r="R37" s="148"/>
      <c r="S37" s="6"/>
    </row>
    <row r="38" spans="1:19" x14ac:dyDescent="0.2">
      <c r="A38" t="s">
        <v>50</v>
      </c>
      <c r="B38" s="6" t="e">
        <f>'Rate Class Load Model'!#REF!</f>
        <v>#REF!</v>
      </c>
      <c r="C38" s="6">
        <f>'Rate Class Load Model'!D2</f>
        <v>496</v>
      </c>
      <c r="D38" s="6">
        <f>'Rate Class Load Model'!D3</f>
        <v>498</v>
      </c>
      <c r="E38" s="6">
        <f>'Rate Class Load Model'!D4</f>
        <v>265</v>
      </c>
      <c r="F38" s="6">
        <f>'Rate Class Load Model'!D5</f>
        <v>143</v>
      </c>
      <c r="G38" s="21">
        <f>'Rate Class Load Model'!D6</f>
        <v>52</v>
      </c>
      <c r="H38" s="6">
        <f>'Rate Class Load Model'!D7</f>
        <v>14</v>
      </c>
      <c r="I38" s="6">
        <f>'Rate Class Load Model'!D8</f>
        <v>14</v>
      </c>
      <c r="J38" s="6">
        <f>'Rate Class Load Model'!D9</f>
        <v>14</v>
      </c>
      <c r="K38" s="6">
        <f>'Rate Class Load Model'!D10</f>
        <v>14</v>
      </c>
      <c r="L38" s="6">
        <f>'Rate Class Load Model'!D11</f>
        <v>14</v>
      </c>
      <c r="M38" s="6">
        <f>'Rate Class Load Model'!D12</f>
        <v>14</v>
      </c>
      <c r="N38" s="6">
        <f>'Rate Class Load Model'!D13</f>
        <v>14</v>
      </c>
      <c r="P38" s="150"/>
      <c r="Q38" s="174"/>
      <c r="R38" s="148"/>
      <c r="S38" s="338"/>
    </row>
    <row r="39" spans="1:19" x14ac:dyDescent="0.2">
      <c r="B39" s="6"/>
      <c r="C39" s="6"/>
      <c r="D39" s="6"/>
      <c r="E39" s="6"/>
      <c r="F39" s="6"/>
      <c r="G39" s="21"/>
      <c r="H39" s="6"/>
      <c r="I39" s="6"/>
      <c r="J39" s="6"/>
      <c r="L39" s="6"/>
      <c r="N39" s="6"/>
    </row>
    <row r="40" spans="1:19" x14ac:dyDescent="0.2">
      <c r="A40" s="31" t="str">
        <f>'Rate Class Energy Model'!N2</f>
        <v>Embedded Distributor</v>
      </c>
      <c r="B40" s="6"/>
      <c r="C40" s="6"/>
      <c r="D40" s="6"/>
      <c r="E40" s="6"/>
      <c r="F40" s="6"/>
      <c r="G40" s="21"/>
      <c r="H40" s="6"/>
      <c r="I40" s="6"/>
      <c r="J40" s="6"/>
      <c r="K40" s="6"/>
      <c r="L40" s="6"/>
      <c r="M40" s="6"/>
      <c r="N40" s="6"/>
    </row>
    <row r="41" spans="1:19" x14ac:dyDescent="0.2">
      <c r="A41" t="s">
        <v>65</v>
      </c>
      <c r="B41" s="6"/>
      <c r="C41" s="6"/>
      <c r="D41" s="6">
        <f>'Rate Class Customer Model'!H5</f>
        <v>4</v>
      </c>
      <c r="E41" s="6">
        <f>'Rate Class Customer Model'!H6</f>
        <v>4</v>
      </c>
      <c r="F41" s="6">
        <f>'Rate Class Customer Model'!H7</f>
        <v>4</v>
      </c>
      <c r="G41" s="21">
        <f>'Rate Class Customer Model'!H8</f>
        <v>4</v>
      </c>
      <c r="H41" s="6">
        <f>'Rate Class Customer Model'!H9</f>
        <v>4</v>
      </c>
      <c r="I41" s="6">
        <f>'Rate Class Customer Model'!H10</f>
        <v>4</v>
      </c>
      <c r="J41" s="6">
        <f>'Rate Class Customer Model'!H11</f>
        <v>4</v>
      </c>
      <c r="K41" s="6">
        <f>'Rate Class Customer Model'!H12</f>
        <v>4</v>
      </c>
      <c r="L41" s="6">
        <f>'Rate Class Customer Model'!H13</f>
        <v>4</v>
      </c>
      <c r="M41" s="6">
        <f>'Rate Class Customer Model'!H14</f>
        <v>4</v>
      </c>
      <c r="N41" s="6">
        <f>'Rate Class Customer Model'!H15</f>
        <v>4</v>
      </c>
      <c r="P41" s="149"/>
      <c r="Q41" s="174"/>
      <c r="R41" s="148"/>
    </row>
    <row r="42" spans="1:19" x14ac:dyDescent="0.2">
      <c r="A42" t="s">
        <v>49</v>
      </c>
      <c r="B42" s="6"/>
      <c r="C42" s="6"/>
      <c r="D42" s="6">
        <f>'Rate Class Energy Model'!N8</f>
        <v>62597838.75999999</v>
      </c>
      <c r="E42" s="6">
        <f>'Rate Class Energy Model'!N9</f>
        <v>54864776.720000006</v>
      </c>
      <c r="F42" s="6">
        <f>'Rate Class Energy Model'!N10</f>
        <v>51097775.399999999</v>
      </c>
      <c r="G42" s="21">
        <f>'Rate Class Energy Model'!N11</f>
        <v>48094376.299999997</v>
      </c>
      <c r="H42" s="6">
        <f>'Rate Class Energy Model'!N12</f>
        <v>52740415.399999999</v>
      </c>
      <c r="I42" s="6">
        <f>'Rate Class Energy Model'!N13</f>
        <v>50111690.900000006</v>
      </c>
      <c r="J42" s="6">
        <f>'Rate Class Energy Model'!N14</f>
        <v>49811242</v>
      </c>
      <c r="K42" s="6">
        <f>'Rate Class Energy Model'!N15</f>
        <v>52151233.5</v>
      </c>
      <c r="L42" s="6">
        <f>'Rate Class Energy Model'!N16</f>
        <v>48193212.060000002</v>
      </c>
      <c r="M42" s="6">
        <f>'Rate Class Energy Model'!N54</f>
        <v>46643291.462049104</v>
      </c>
      <c r="N42" s="6">
        <f>'Rate Class Energy Model'!N55</f>
        <v>45143217.175586261</v>
      </c>
      <c r="P42" s="150"/>
      <c r="R42" s="148"/>
      <c r="S42" s="6"/>
    </row>
    <row r="43" spans="1:19" x14ac:dyDescent="0.2">
      <c r="A43" t="s">
        <v>50</v>
      </c>
      <c r="B43" s="6"/>
      <c r="C43" s="6"/>
      <c r="D43" s="6">
        <f>'Rate Class Load Model'!E3</f>
        <v>115967.3</v>
      </c>
      <c r="E43" s="6">
        <f>'Rate Class Load Model'!E4</f>
        <v>112770.77999999998</v>
      </c>
      <c r="F43" s="6">
        <f>'Rate Class Load Model'!E5</f>
        <v>109952.4</v>
      </c>
      <c r="G43" s="21">
        <f>'Rate Class Load Model'!E6</f>
        <v>107516.56</v>
      </c>
      <c r="H43" s="6">
        <f>'Rate Class Load Model'!E7</f>
        <v>113910.59999999999</v>
      </c>
      <c r="I43" s="6">
        <f>'Rate Class Load Model'!E8</f>
        <v>111193.80000000002</v>
      </c>
      <c r="J43" s="6">
        <f>'Rate Class Load Model'!E9</f>
        <v>110634.70000000001</v>
      </c>
      <c r="K43" s="6">
        <f>'Rate Class Load Model'!E10</f>
        <v>115370.49999999999</v>
      </c>
      <c r="L43" s="6">
        <f>'Rate Class Load Model'!E11</f>
        <v>105467.49</v>
      </c>
      <c r="M43" s="6">
        <f>'Rate Class Load Model'!E12</f>
        <v>100002.37884363059</v>
      </c>
      <c r="N43" s="6">
        <f>'Rate Class Load Model'!E13</f>
        <v>96786.246525642244</v>
      </c>
      <c r="P43" s="150"/>
      <c r="Q43" s="174"/>
      <c r="R43" s="148"/>
      <c r="S43" s="338"/>
    </row>
    <row r="44" spans="1:19" x14ac:dyDescent="0.2">
      <c r="Q44" s="175"/>
    </row>
    <row r="45" spans="1:19" x14ac:dyDescent="0.2">
      <c r="A45" s="31" t="s">
        <v>66</v>
      </c>
      <c r="B45" s="6"/>
      <c r="C45" s="6"/>
      <c r="E45" s="6"/>
      <c r="F45" s="6"/>
      <c r="G45" s="6"/>
      <c r="H45" s="21"/>
      <c r="I45" s="21"/>
      <c r="J45" s="21"/>
      <c r="K45" s="21"/>
      <c r="L45" s="21"/>
    </row>
    <row r="46" spans="1:19" x14ac:dyDescent="0.2">
      <c r="A46" t="s">
        <v>55</v>
      </c>
      <c r="B46" s="6">
        <f>B14+B18+B22+B27+B32+B36+B41</f>
        <v>13490.186492214136</v>
      </c>
      <c r="C46" s="6">
        <f t="shared" ref="C46:N46" si="1">C14+C18+C22+C27+C32+C36+C41</f>
        <v>13570.617202616786</v>
      </c>
      <c r="D46" s="6">
        <f t="shared" si="1"/>
        <v>13655.547544457753</v>
      </c>
      <c r="E46" s="6">
        <f t="shared" si="1"/>
        <v>13696.50737123376</v>
      </c>
      <c r="F46" s="6">
        <f t="shared" si="1"/>
        <v>13823</v>
      </c>
      <c r="G46" s="6">
        <f t="shared" si="1"/>
        <v>13980.5</v>
      </c>
      <c r="H46" s="6">
        <f t="shared" si="1"/>
        <v>14053.5</v>
      </c>
      <c r="I46" s="6">
        <f t="shared" si="1"/>
        <v>14142.5</v>
      </c>
      <c r="J46" s="6">
        <f t="shared" si="1"/>
        <v>14229</v>
      </c>
      <c r="K46" s="6">
        <f t="shared" si="1"/>
        <v>14316.5</v>
      </c>
      <c r="L46" s="6">
        <f t="shared" si="1"/>
        <v>14398.5</v>
      </c>
      <c r="M46" s="6">
        <f t="shared" si="1"/>
        <v>14498.66364280555</v>
      </c>
      <c r="N46" s="6">
        <f t="shared" si="1"/>
        <v>14599.730815848385</v>
      </c>
      <c r="R46" s="148"/>
    </row>
    <row r="47" spans="1:19" x14ac:dyDescent="0.2">
      <c r="A47" t="s">
        <v>49</v>
      </c>
      <c r="B47" s="6" t="e">
        <f>B15+B19+B23+B28+B33+B37+B42</f>
        <v>#REF!</v>
      </c>
      <c r="C47" s="6">
        <f t="shared" ref="C47:N47" si="2">C15+C19+C23+C28+C33+C37+C42</f>
        <v>198488137.87</v>
      </c>
      <c r="D47" s="6">
        <f t="shared" si="2"/>
        <v>257563114.73999998</v>
      </c>
      <c r="E47" s="6">
        <f t="shared" si="2"/>
        <v>248215770.31</v>
      </c>
      <c r="F47" s="6">
        <f t="shared" si="2"/>
        <v>233076331.52177987</v>
      </c>
      <c r="G47" s="6">
        <f t="shared" si="2"/>
        <v>238502359.82732242</v>
      </c>
      <c r="H47" s="6">
        <f t="shared" si="2"/>
        <v>241928636.40000001</v>
      </c>
      <c r="I47" s="6">
        <f t="shared" si="2"/>
        <v>233351045.58096856</v>
      </c>
      <c r="J47" s="6">
        <f t="shared" si="2"/>
        <v>229730886.55255783</v>
      </c>
      <c r="K47" s="6">
        <f t="shared" si="2"/>
        <v>230942887.5</v>
      </c>
      <c r="L47" s="6">
        <f t="shared" si="2"/>
        <v>232502517.32197464</v>
      </c>
      <c r="M47" s="6">
        <f t="shared" si="2"/>
        <v>233105737.22604215</v>
      </c>
      <c r="N47" s="6">
        <f t="shared" si="2"/>
        <v>229752893.87397906</v>
      </c>
      <c r="Q47" s="151"/>
      <c r="R47" s="159"/>
    </row>
    <row r="48" spans="1:19" x14ac:dyDescent="0.2">
      <c r="A48" t="s">
        <v>54</v>
      </c>
      <c r="B48" s="6" t="e">
        <f>B24+B29+B38+B43</f>
        <v>#REF!</v>
      </c>
      <c r="C48" s="6">
        <f t="shared" ref="C48:J48" si="3">C24+C29+C38+C43</f>
        <v>247726.55</v>
      </c>
      <c r="D48" s="6">
        <f t="shared" si="3"/>
        <v>341211.14</v>
      </c>
      <c r="E48" s="6">
        <f t="shared" si="3"/>
        <v>329106.05</v>
      </c>
      <c r="F48" s="6">
        <f t="shared" si="3"/>
        <v>323294.09999999998</v>
      </c>
      <c r="G48" s="6">
        <f t="shared" si="3"/>
        <v>314610.36</v>
      </c>
      <c r="H48" s="6">
        <f t="shared" si="3"/>
        <v>315145.5</v>
      </c>
      <c r="I48" s="6">
        <f t="shared" si="3"/>
        <v>304435.30000000005</v>
      </c>
      <c r="J48" s="6">
        <f t="shared" si="3"/>
        <v>299340.59999999998</v>
      </c>
      <c r="K48" s="6">
        <f>K24+K29+K38+K43</f>
        <v>308160.39999999997</v>
      </c>
      <c r="L48" s="6">
        <f t="shared" ref="L48:N48" si="4">L24+L29+L38+L43</f>
        <v>307207.49</v>
      </c>
      <c r="M48" s="6">
        <f t="shared" si="4"/>
        <v>299284.49504750146</v>
      </c>
      <c r="N48" s="6">
        <f t="shared" si="4"/>
        <v>291816.33854915644</v>
      </c>
      <c r="O48" s="6"/>
      <c r="Q48" s="69"/>
      <c r="R48" s="148"/>
    </row>
    <row r="49" spans="1:19" x14ac:dyDescent="0.2">
      <c r="Q49" s="152"/>
      <c r="R49" s="148"/>
    </row>
    <row r="50" spans="1:19" x14ac:dyDescent="0.2">
      <c r="A50" s="31" t="s">
        <v>67</v>
      </c>
      <c r="M50" s="6"/>
      <c r="N50" s="6"/>
    </row>
    <row r="51" spans="1:19" x14ac:dyDescent="0.2">
      <c r="A51" t="s">
        <v>55</v>
      </c>
      <c r="B51" s="6">
        <f>'Rate Class Customer Model'!I3</f>
        <v>13490.186492214136</v>
      </c>
      <c r="C51" s="6">
        <f>'Rate Class Customer Model'!I4</f>
        <v>13570.617202616786</v>
      </c>
      <c r="D51" s="6">
        <f>'Rate Class Customer Model'!I5</f>
        <v>13655.547544457753</v>
      </c>
      <c r="E51" s="6">
        <f>'Rate Class Customer Model'!I6</f>
        <v>13696.50737123376</v>
      </c>
      <c r="F51" s="6">
        <f>'Rate Class Customer Model'!I7</f>
        <v>13823</v>
      </c>
      <c r="G51" s="6">
        <f>'Rate Class Customer Model'!I8</f>
        <v>13980.5</v>
      </c>
      <c r="H51" s="6">
        <f>'Rate Class Customer Model'!I9</f>
        <v>14053.5</v>
      </c>
      <c r="I51" s="6">
        <f>'Rate Class Customer Model'!I10</f>
        <v>14142.5</v>
      </c>
      <c r="J51" s="6">
        <f>'Rate Class Customer Model'!I11</f>
        <v>14228.5</v>
      </c>
      <c r="K51" s="6">
        <f>'Rate Class Customer Model'!I12</f>
        <v>14316.5</v>
      </c>
      <c r="L51" s="6">
        <f>'Rate Class Customer Model'!I13</f>
        <v>14398.5</v>
      </c>
      <c r="M51" s="6">
        <f>'Rate Class Customer Model'!I14</f>
        <v>14498.66364280555</v>
      </c>
      <c r="N51" s="6">
        <f>'Rate Class Customer Model'!I15</f>
        <v>14599.730815848385</v>
      </c>
    </row>
    <row r="52" spans="1:19" x14ac:dyDescent="0.2">
      <c r="A52" t="s">
        <v>49</v>
      </c>
      <c r="B52" s="6" t="e">
        <f>'Rate Class Energy Model'!#REF!</f>
        <v>#REF!</v>
      </c>
      <c r="C52" s="6">
        <f>'Rate Class Energy Model'!G7</f>
        <v>198488137.87</v>
      </c>
      <c r="D52" s="6">
        <f>'Rate Class Energy Model'!G8</f>
        <v>257563114.73999998</v>
      </c>
      <c r="E52" s="6">
        <f>'Rate Class Energy Model'!G9</f>
        <v>248215770.31</v>
      </c>
      <c r="F52" s="6">
        <f>'Rate Class Energy Model'!G10</f>
        <v>233076331.52177987</v>
      </c>
      <c r="G52" s="6">
        <f>'Rate Class Energy Model'!G11</f>
        <v>238502359.82732242</v>
      </c>
      <c r="H52" s="21">
        <f>'Rate Class Energy Model'!G12</f>
        <v>241928636.40000001</v>
      </c>
      <c r="I52" s="21">
        <f>'Rate Class Energy Model'!G13</f>
        <v>233351045.58096856</v>
      </c>
      <c r="J52" s="21">
        <f>'Rate Class Energy Model'!G14</f>
        <v>229730886.55255783</v>
      </c>
      <c r="K52" s="21">
        <f>'Rate Class Energy Model'!G15</f>
        <v>230942887.5</v>
      </c>
      <c r="L52" s="21">
        <f>'Rate Class Energy Model'!G16</f>
        <v>232502517.32197464</v>
      </c>
      <c r="M52" s="6">
        <f>'Rate Class Energy Model'!O58</f>
        <v>233105737.22604215</v>
      </c>
      <c r="N52" s="6">
        <f>'Rate Class Energy Model'!O59</f>
        <v>229752893.87397906</v>
      </c>
      <c r="S52" s="64"/>
    </row>
    <row r="53" spans="1:19" x14ac:dyDescent="0.2">
      <c r="A53" t="s">
        <v>54</v>
      </c>
      <c r="B53" s="6" t="e">
        <f>'Rate Class Load Model'!#REF!</f>
        <v>#REF!</v>
      </c>
      <c r="C53" s="6">
        <f>'Rate Class Load Model'!F2</f>
        <v>247726.55</v>
      </c>
      <c r="D53" s="6">
        <f>'Rate Class Load Model'!F3</f>
        <v>341211.14</v>
      </c>
      <c r="E53" s="6">
        <f>'Rate Class Load Model'!F4</f>
        <v>329106.05</v>
      </c>
      <c r="F53" s="6">
        <f>'Rate Class Load Model'!F5</f>
        <v>323294.09999999998</v>
      </c>
      <c r="G53" s="21">
        <f>'Rate Class Load Model'!F6</f>
        <v>314610.36</v>
      </c>
      <c r="H53" s="6">
        <f>'Rate Class Load Model'!F7</f>
        <v>315145.5</v>
      </c>
      <c r="I53" s="6">
        <f>'Rate Class Load Model'!F8</f>
        <v>304435.30000000005</v>
      </c>
      <c r="J53" s="6">
        <f>'Rate Class Load Model'!F9</f>
        <v>299340.59999999998</v>
      </c>
      <c r="K53" s="6">
        <f>'Rate Class Load Model'!F10</f>
        <v>308160.39999999997</v>
      </c>
      <c r="L53" s="6">
        <f>'Rate Class Load Model'!F11</f>
        <v>307207.49</v>
      </c>
      <c r="M53" s="6">
        <f>'Rate Class Load Model'!F12</f>
        <v>299284.49504750146</v>
      </c>
      <c r="N53" s="6">
        <f>'Rate Class Load Model'!F13</f>
        <v>291816.33854915644</v>
      </c>
    </row>
    <row r="55" spans="1:19" x14ac:dyDescent="0.2">
      <c r="A55" s="31" t="s">
        <v>68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9" x14ac:dyDescent="0.2">
      <c r="A56" t="s">
        <v>55</v>
      </c>
      <c r="B56" s="6">
        <f t="shared" ref="B56:H56" si="5">B46-B51</f>
        <v>0</v>
      </c>
      <c r="C56" s="6">
        <f t="shared" si="5"/>
        <v>0</v>
      </c>
      <c r="D56" s="6">
        <f t="shared" si="5"/>
        <v>0</v>
      </c>
      <c r="E56" s="6">
        <f t="shared" si="5"/>
        <v>0</v>
      </c>
      <c r="F56" s="6">
        <f t="shared" si="5"/>
        <v>0</v>
      </c>
      <c r="G56" s="6">
        <f t="shared" si="5"/>
        <v>0</v>
      </c>
      <c r="H56" s="6">
        <f t="shared" si="5"/>
        <v>0</v>
      </c>
      <c r="I56" s="6">
        <f t="shared" ref="I56:K56" si="6">I46-I51</f>
        <v>0</v>
      </c>
      <c r="J56" s="6">
        <f t="shared" si="6"/>
        <v>0.5</v>
      </c>
      <c r="K56" s="6">
        <f t="shared" si="6"/>
        <v>0</v>
      </c>
      <c r="L56" s="6">
        <f t="shared" ref="L56:M56" si="7">L46-L51</f>
        <v>0</v>
      </c>
      <c r="M56" s="6">
        <f t="shared" si="7"/>
        <v>0</v>
      </c>
      <c r="N56" s="6">
        <f t="shared" ref="N56" si="8">N46-N51</f>
        <v>0</v>
      </c>
      <c r="O56" s="6"/>
    </row>
    <row r="57" spans="1:19" x14ac:dyDescent="0.2">
      <c r="A57" t="s">
        <v>49</v>
      </c>
      <c r="B57" s="6" t="e">
        <f t="shared" ref="B57:J58" si="9">B47-B52</f>
        <v>#REF!</v>
      </c>
      <c r="C57" s="6">
        <f t="shared" si="9"/>
        <v>0</v>
      </c>
      <c r="D57" s="6">
        <f t="shared" si="9"/>
        <v>0</v>
      </c>
      <c r="E57" s="6">
        <f t="shared" si="9"/>
        <v>0</v>
      </c>
      <c r="F57" s="6">
        <f t="shared" si="9"/>
        <v>0</v>
      </c>
      <c r="G57" s="6">
        <f t="shared" si="9"/>
        <v>0</v>
      </c>
      <c r="H57" s="6">
        <f t="shared" si="9"/>
        <v>0</v>
      </c>
      <c r="I57" s="6">
        <f t="shared" ref="I57:K57" si="10">I47-I52</f>
        <v>0</v>
      </c>
      <c r="J57" s="6">
        <f t="shared" si="10"/>
        <v>0</v>
      </c>
      <c r="K57" s="6">
        <f t="shared" si="10"/>
        <v>0</v>
      </c>
      <c r="L57" s="6">
        <f t="shared" ref="L57" si="11">L47-L52</f>
        <v>0</v>
      </c>
      <c r="M57" s="6">
        <f>M47-M52</f>
        <v>0</v>
      </c>
      <c r="N57" s="6">
        <f>N47-N52</f>
        <v>0</v>
      </c>
      <c r="O57" s="6"/>
    </row>
    <row r="58" spans="1:19" x14ac:dyDescent="0.2">
      <c r="A58" t="s">
        <v>54</v>
      </c>
      <c r="B58" s="6" t="e">
        <f t="shared" si="9"/>
        <v>#REF!</v>
      </c>
      <c r="C58" s="6">
        <f t="shared" si="9"/>
        <v>0</v>
      </c>
      <c r="D58" s="6">
        <f t="shared" si="9"/>
        <v>0</v>
      </c>
      <c r="E58" s="6">
        <f t="shared" si="9"/>
        <v>0</v>
      </c>
      <c r="F58" s="6">
        <f t="shared" si="9"/>
        <v>0</v>
      </c>
      <c r="G58" s="6">
        <f t="shared" si="9"/>
        <v>0</v>
      </c>
      <c r="H58" s="6">
        <f t="shared" si="9"/>
        <v>0</v>
      </c>
      <c r="I58" s="6">
        <f t="shared" si="9"/>
        <v>0</v>
      </c>
      <c r="J58" s="6">
        <f t="shared" si="9"/>
        <v>0</v>
      </c>
      <c r="K58" s="6">
        <f>K48-K53</f>
        <v>0</v>
      </c>
      <c r="L58" s="6">
        <f t="shared" ref="L58" si="12">L48-L53</f>
        <v>0</v>
      </c>
      <c r="M58" s="6">
        <f>M48-M53</f>
        <v>0</v>
      </c>
      <c r="N58" s="6">
        <f>N48-N53</f>
        <v>0</v>
      </c>
      <c r="O58" s="6"/>
    </row>
    <row r="60" spans="1:19" x14ac:dyDescent="0.2">
      <c r="L60" s="21"/>
    </row>
    <row r="61" spans="1:19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Q61"/>
    </row>
    <row r="62" spans="1:19" x14ac:dyDescent="0.2">
      <c r="B62"/>
      <c r="C62"/>
      <c r="D62"/>
      <c r="E62"/>
      <c r="F62"/>
      <c r="G62"/>
      <c r="H62"/>
      <c r="I62"/>
      <c r="J62"/>
      <c r="K62"/>
      <c r="L62"/>
      <c r="M62"/>
      <c r="N62" s="64"/>
      <c r="Q62"/>
    </row>
    <row r="63" spans="1:19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Q63"/>
    </row>
    <row r="64" spans="1:19" x14ac:dyDescent="0.2">
      <c r="B64"/>
      <c r="C64"/>
      <c r="D64"/>
      <c r="E64"/>
      <c r="F64"/>
      <c r="G64"/>
      <c r="H64"/>
      <c r="I64"/>
      <c r="J64"/>
      <c r="K64"/>
      <c r="L64"/>
      <c r="M64"/>
      <c r="N64"/>
      <c r="Q64"/>
    </row>
    <row r="65" spans="2:17" x14ac:dyDescent="0.2">
      <c r="B65"/>
      <c r="C65"/>
      <c r="D65"/>
      <c r="E65"/>
      <c r="F65"/>
      <c r="G65"/>
      <c r="H65"/>
      <c r="I65"/>
      <c r="J65"/>
      <c r="K65"/>
      <c r="L65"/>
      <c r="M65"/>
      <c r="N65"/>
      <c r="Q65"/>
    </row>
    <row r="66" spans="2:17" x14ac:dyDescent="0.2">
      <c r="B66"/>
      <c r="C66"/>
      <c r="D66"/>
      <c r="E66"/>
      <c r="F66"/>
      <c r="G66"/>
      <c r="H66"/>
      <c r="I66"/>
      <c r="J66"/>
      <c r="K66"/>
      <c r="L66"/>
      <c r="M66"/>
      <c r="N66"/>
      <c r="Q66"/>
    </row>
    <row r="67" spans="2:17" x14ac:dyDescent="0.2">
      <c r="B67"/>
      <c r="C67"/>
      <c r="D67"/>
      <c r="E67"/>
      <c r="F67"/>
      <c r="G67"/>
      <c r="H67"/>
      <c r="I67"/>
      <c r="J67"/>
      <c r="K67"/>
      <c r="L67"/>
      <c r="M67"/>
      <c r="N67"/>
      <c r="Q67"/>
    </row>
    <row r="68" spans="2:17" x14ac:dyDescent="0.2">
      <c r="B68"/>
      <c r="C68"/>
      <c r="D68"/>
      <c r="E68"/>
      <c r="F68"/>
      <c r="G68"/>
      <c r="H68"/>
      <c r="I68"/>
      <c r="J68"/>
      <c r="K68"/>
      <c r="L68"/>
      <c r="M68"/>
      <c r="N68"/>
      <c r="Q68"/>
    </row>
    <row r="69" spans="2:17" x14ac:dyDescent="0.2">
      <c r="B69"/>
      <c r="C69"/>
      <c r="D69"/>
      <c r="E69"/>
      <c r="F69"/>
      <c r="G69"/>
      <c r="H69"/>
      <c r="I69"/>
      <c r="J69"/>
      <c r="K69"/>
      <c r="L69"/>
      <c r="M69"/>
      <c r="N69"/>
      <c r="Q69"/>
    </row>
    <row r="70" spans="2:17" x14ac:dyDescent="0.2">
      <c r="B70"/>
      <c r="C70"/>
      <c r="D70"/>
      <c r="E70"/>
      <c r="F70"/>
      <c r="G70"/>
      <c r="H70"/>
      <c r="I70"/>
      <c r="J70"/>
      <c r="K70"/>
      <c r="L70"/>
      <c r="M70"/>
      <c r="N70"/>
      <c r="Q70"/>
    </row>
  </sheetData>
  <phoneticPr fontId="0" type="noConversion"/>
  <pageMargins left="0.38" right="0.75" top="0.73" bottom="0.74" header="0.5" footer="0.5"/>
  <pageSetup scale="7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2"/>
  <sheetViews>
    <sheetView topLeftCell="E139" workbookViewId="0">
      <selection activeCell="C159" sqref="C159"/>
    </sheetView>
  </sheetViews>
  <sheetFormatPr defaultRowHeight="12.75" x14ac:dyDescent="0.2"/>
  <cols>
    <col min="1" max="1" width="11.85546875" style="70" customWidth="1"/>
    <col min="2" max="3" width="18" style="71" customWidth="1"/>
    <col min="4" max="4" width="11.7109375" style="72" customWidth="1"/>
    <col min="5" max="5" width="13.42578125" style="72" customWidth="1"/>
    <col min="6" max="6" width="10.140625" style="72" customWidth="1"/>
    <col min="7" max="7" width="12.42578125" style="72" customWidth="1"/>
    <col min="8" max="8" width="14.42578125" style="90" hidden="1" customWidth="1"/>
    <col min="9" max="9" width="14.42578125" style="71" hidden="1" customWidth="1"/>
    <col min="10" max="11" width="12.42578125" style="72" hidden="1" customWidth="1"/>
    <col min="12" max="12" width="13" style="72" hidden="1" customWidth="1"/>
    <col min="13" max="13" width="13" style="72" customWidth="1"/>
    <col min="14" max="14" width="15.42578125" style="72" bestFit="1" customWidth="1"/>
    <col min="15" max="15" width="15.42578125" style="72" customWidth="1"/>
    <col min="16" max="16" width="25.85546875" style="1" bestFit="1" customWidth="1"/>
    <col min="17" max="17" width="27.5703125" customWidth="1"/>
    <col min="18" max="18" width="20.7109375" customWidth="1"/>
    <col min="19" max="19" width="17.140625" customWidth="1"/>
    <col min="20" max="21" width="15.7109375" customWidth="1"/>
    <col min="22" max="22" width="15" customWidth="1"/>
    <col min="23" max="23" width="14.5703125" bestFit="1" customWidth="1"/>
    <col min="24" max="24" width="9.28515625" customWidth="1"/>
    <col min="25" max="25" width="25.85546875" bestFit="1" customWidth="1"/>
    <col min="26" max="26" width="11.7109375" bestFit="1" customWidth="1"/>
    <col min="27" max="27" width="10.7109375" bestFit="1" customWidth="1"/>
  </cols>
  <sheetData>
    <row r="1" spans="1:21" x14ac:dyDescent="0.2">
      <c r="H1" s="114"/>
      <c r="I1" s="383" t="s">
        <v>89</v>
      </c>
      <c r="J1" s="383"/>
      <c r="K1" s="383"/>
      <c r="L1" s="383"/>
    </row>
    <row r="2" spans="1:21" ht="42" customHeight="1" x14ac:dyDescent="0.2">
      <c r="A2" s="316"/>
      <c r="B2" s="317" t="s">
        <v>0</v>
      </c>
      <c r="C2" s="318" t="s">
        <v>292</v>
      </c>
      <c r="D2" s="319" t="s">
        <v>3</v>
      </c>
      <c r="E2" s="319" t="s">
        <v>4</v>
      </c>
      <c r="F2" s="319" t="s">
        <v>5</v>
      </c>
      <c r="G2" s="319" t="s">
        <v>19</v>
      </c>
      <c r="H2" s="320" t="s">
        <v>7</v>
      </c>
      <c r="I2" s="319" t="s">
        <v>88</v>
      </c>
      <c r="J2" s="319" t="s">
        <v>63</v>
      </c>
      <c r="K2" s="319" t="s">
        <v>6</v>
      </c>
      <c r="L2" s="318" t="s">
        <v>90</v>
      </c>
      <c r="M2" s="319" t="s">
        <v>12</v>
      </c>
      <c r="N2" s="11" t="s">
        <v>13</v>
      </c>
      <c r="O2" s="11" t="s">
        <v>290</v>
      </c>
      <c r="P2" t="s">
        <v>20</v>
      </c>
    </row>
    <row r="3" spans="1:21" ht="13.5" customHeight="1" thickBot="1" x14ac:dyDescent="0.25">
      <c r="A3" s="321">
        <v>38718</v>
      </c>
      <c r="B3" s="163">
        <v>17495990</v>
      </c>
      <c r="C3" s="322">
        <v>0</v>
      </c>
      <c r="D3" s="283">
        <f>'Weather Analysis'!M8</f>
        <v>494.7</v>
      </c>
      <c r="E3" s="283">
        <f>'Weather Analysis'!M28</f>
        <v>0</v>
      </c>
      <c r="F3" s="323">
        <v>31</v>
      </c>
      <c r="G3" s="324">
        <v>0</v>
      </c>
      <c r="H3" s="325">
        <v>134.25197202423305</v>
      </c>
      <c r="I3" s="324">
        <v>1</v>
      </c>
      <c r="J3" s="326">
        <v>13536</v>
      </c>
      <c r="K3" s="324">
        <v>336.28800000000001</v>
      </c>
      <c r="L3" s="322">
        <f>'CDM Activity'!C21</f>
        <v>5477.4459188657574</v>
      </c>
      <c r="M3" s="324">
        <f>$Q$18+C3*$Q$19+D3*$Q$20+E3*$Q$21+F3*$Q$22+G3*$Q$23</f>
        <v>18956270.833884791</v>
      </c>
      <c r="N3" s="295">
        <f>M3-B3</f>
        <v>1460280.8338847905</v>
      </c>
      <c r="O3" s="296">
        <f>ABS(N3/B3)</f>
        <v>8.3463744199944706E-2</v>
      </c>
      <c r="P3"/>
    </row>
    <row r="4" spans="1:21" ht="13.5" customHeight="1" x14ac:dyDescent="0.2">
      <c r="A4" s="321">
        <v>38749</v>
      </c>
      <c r="B4" s="163">
        <v>16164900</v>
      </c>
      <c r="C4" s="322">
        <v>0</v>
      </c>
      <c r="D4" s="283">
        <f>'Weather Analysis'!M9</f>
        <v>538</v>
      </c>
      <c r="E4" s="283">
        <f>'Weather Analysis'!M29</f>
        <v>0</v>
      </c>
      <c r="F4" s="323">
        <v>28</v>
      </c>
      <c r="G4" s="324">
        <v>0</v>
      </c>
      <c r="H4" s="325">
        <v>134.52850910550649</v>
      </c>
      <c r="I4" s="324">
        <v>2</v>
      </c>
      <c r="J4" s="326">
        <v>13543</v>
      </c>
      <c r="K4" s="324">
        <v>319.87200000000001</v>
      </c>
      <c r="L4" s="322">
        <f>'CDM Activity'!C22</f>
        <v>10954.891837731515</v>
      </c>
      <c r="M4" s="324">
        <f t="shared" ref="M4:M67" si="0">$Q$18+C4*$Q$19+D4*$Q$20+E4*$Q$21+F4*$Q$22+G4*$Q$23</f>
        <v>17336113.284374814</v>
      </c>
      <c r="N4" s="295">
        <f t="shared" ref="N4:N67" si="1">M4-B4</f>
        <v>1171213.2843748145</v>
      </c>
      <c r="O4" s="296">
        <f t="shared" ref="O4:O67" si="2">ABS(N4/B4)</f>
        <v>7.2454100203206612E-2</v>
      </c>
      <c r="P4" s="42" t="s">
        <v>21</v>
      </c>
      <c r="Q4" s="42"/>
    </row>
    <row r="5" spans="1:21" ht="13.5" customHeight="1" x14ac:dyDescent="0.2">
      <c r="A5" s="321">
        <v>38777</v>
      </c>
      <c r="B5" s="163">
        <v>17164270</v>
      </c>
      <c r="C5" s="322">
        <v>0</v>
      </c>
      <c r="D5" s="283">
        <f>'Weather Analysis'!M10</f>
        <v>461.4</v>
      </c>
      <c r="E5" s="283">
        <f>'Weather Analysis'!M30</f>
        <v>0</v>
      </c>
      <c r="F5" s="323">
        <v>31</v>
      </c>
      <c r="G5" s="324">
        <v>1</v>
      </c>
      <c r="H5" s="325">
        <v>134.80561580788986</v>
      </c>
      <c r="I5" s="324">
        <v>3</v>
      </c>
      <c r="J5" s="326">
        <v>13550</v>
      </c>
      <c r="K5" s="324">
        <v>368.28</v>
      </c>
      <c r="L5" s="322">
        <f>'CDM Activity'!C23</f>
        <v>16432.337756597273</v>
      </c>
      <c r="M5" s="324">
        <f t="shared" si="0"/>
        <v>17858659.815580837</v>
      </c>
      <c r="N5" s="295">
        <f t="shared" si="1"/>
        <v>694389.81558083743</v>
      </c>
      <c r="O5" s="296">
        <f t="shared" si="2"/>
        <v>4.0455540234500938E-2</v>
      </c>
      <c r="P5" s="26" t="s">
        <v>22</v>
      </c>
      <c r="Q5" s="154">
        <v>0.94562388250520646</v>
      </c>
    </row>
    <row r="6" spans="1:21" ht="13.5" customHeight="1" x14ac:dyDescent="0.2">
      <c r="A6" s="321">
        <v>38808</v>
      </c>
      <c r="B6" s="163">
        <v>14641220</v>
      </c>
      <c r="C6" s="322">
        <v>0</v>
      </c>
      <c r="D6" s="283">
        <f>'Weather Analysis'!M11</f>
        <v>219.5</v>
      </c>
      <c r="E6" s="283">
        <f>'Weather Analysis'!M31</f>
        <v>1.1000000000000001</v>
      </c>
      <c r="F6" s="323">
        <v>30</v>
      </c>
      <c r="G6" s="324">
        <v>1</v>
      </c>
      <c r="H6" s="325">
        <v>135.08329330470943</v>
      </c>
      <c r="I6" s="324">
        <v>4</v>
      </c>
      <c r="J6" s="326">
        <v>13557</v>
      </c>
      <c r="K6" s="324">
        <v>303.83999999999997</v>
      </c>
      <c r="L6" s="322">
        <f>'CDM Activity'!C24</f>
        <v>21909.78367546303</v>
      </c>
      <c r="M6" s="324">
        <f t="shared" si="0"/>
        <v>15327779.003969446</v>
      </c>
      <c r="N6" s="295">
        <f t="shared" si="1"/>
        <v>686559.00396944582</v>
      </c>
      <c r="O6" s="296">
        <f t="shared" si="2"/>
        <v>4.6892199145251952E-2</v>
      </c>
      <c r="P6" s="26" t="s">
        <v>23</v>
      </c>
      <c r="Q6" s="154">
        <v>0.89420452716422061</v>
      </c>
    </row>
    <row r="7" spans="1:21" ht="13.5" customHeight="1" x14ac:dyDescent="0.2">
      <c r="A7" s="321">
        <v>38838</v>
      </c>
      <c r="B7" s="163">
        <v>13901070</v>
      </c>
      <c r="C7" s="322">
        <v>0</v>
      </c>
      <c r="D7" s="283">
        <f>'Weather Analysis'!M12</f>
        <v>105.9</v>
      </c>
      <c r="E7" s="283">
        <f>'Weather Analysis'!M32</f>
        <v>40.6</v>
      </c>
      <c r="F7" s="323">
        <v>31</v>
      </c>
      <c r="G7" s="324">
        <v>1</v>
      </c>
      <c r="H7" s="325">
        <v>135.36154277170829</v>
      </c>
      <c r="I7" s="324">
        <v>5</v>
      </c>
      <c r="J7" s="326">
        <v>13564</v>
      </c>
      <c r="K7" s="324">
        <v>351.91199999999998</v>
      </c>
      <c r="L7" s="322">
        <f>'CDM Activity'!C25</f>
        <v>27387.229594328786</v>
      </c>
      <c r="M7" s="324">
        <f t="shared" si="0"/>
        <v>16834198.489338674</v>
      </c>
      <c r="N7" s="295">
        <f t="shared" si="1"/>
        <v>2933128.4893386737</v>
      </c>
      <c r="O7" s="296">
        <f t="shared" si="2"/>
        <v>0.21100019562081723</v>
      </c>
      <c r="P7" s="26" t="s">
        <v>24</v>
      </c>
      <c r="Q7" s="154">
        <v>0.8895643748468619</v>
      </c>
    </row>
    <row r="8" spans="1:21" ht="13.5" customHeight="1" x14ac:dyDescent="0.2">
      <c r="A8" s="321">
        <v>38869</v>
      </c>
      <c r="B8" s="163">
        <v>17912530</v>
      </c>
      <c r="C8" s="322">
        <v>0</v>
      </c>
      <c r="D8" s="283">
        <f>'Weather Analysis'!M13</f>
        <v>8.8000000000000007</v>
      </c>
      <c r="E8" s="283">
        <f>'Weather Analysis'!M33</f>
        <v>85.7</v>
      </c>
      <c r="F8" s="323">
        <v>30</v>
      </c>
      <c r="G8" s="324">
        <v>0</v>
      </c>
      <c r="H8" s="325">
        <v>135.64036538705133</v>
      </c>
      <c r="I8" s="324">
        <v>6</v>
      </c>
      <c r="J8" s="327">
        <f>'Rate Class Customer Model'!I4</f>
        <v>13570.617202616786</v>
      </c>
      <c r="K8" s="324">
        <v>352.08</v>
      </c>
      <c r="L8" s="322">
        <f>'CDM Activity'!C26</f>
        <v>32864.675513194547</v>
      </c>
      <c r="M8" s="324">
        <f t="shared" si="0"/>
        <v>18243617.585530445</v>
      </c>
      <c r="N8" s="295">
        <f t="shared" si="1"/>
        <v>331087.58553044498</v>
      </c>
      <c r="O8" s="296">
        <f t="shared" si="2"/>
        <v>1.8483574655866312E-2</v>
      </c>
      <c r="P8" s="26" t="s">
        <v>25</v>
      </c>
      <c r="Q8" s="155">
        <v>927813.44179392664</v>
      </c>
    </row>
    <row r="9" spans="1:21" ht="13.5" customHeight="1" thickBot="1" x14ac:dyDescent="0.25">
      <c r="A9" s="321">
        <v>38899</v>
      </c>
      <c r="B9" s="163">
        <v>22524750</v>
      </c>
      <c r="C9" s="322">
        <v>0</v>
      </c>
      <c r="D9" s="283">
        <f>'Weather Analysis'!M14</f>
        <v>0</v>
      </c>
      <c r="E9" s="283">
        <f>'Weather Analysis'!M34</f>
        <v>197.4</v>
      </c>
      <c r="F9" s="323">
        <v>31</v>
      </c>
      <c r="G9" s="324">
        <v>0</v>
      </c>
      <c r="H9" s="325">
        <v>135.9197623313303</v>
      </c>
      <c r="I9" s="324">
        <v>7</v>
      </c>
      <c r="J9" s="326">
        <f t="shared" ref="J9:J19" si="3">($J$20-$J$8)/12+J8</f>
        <v>13577.694731103533</v>
      </c>
      <c r="K9" s="324">
        <v>319.92</v>
      </c>
      <c r="L9" s="322">
        <f>'CDM Activity'!C27</f>
        <v>38342.121432060303</v>
      </c>
      <c r="M9" s="324">
        <f t="shared" si="0"/>
        <v>23792679.711338084</v>
      </c>
      <c r="N9" s="295">
        <f t="shared" si="1"/>
        <v>1267929.7113380842</v>
      </c>
      <c r="O9" s="296">
        <f t="shared" si="2"/>
        <v>5.6290512051769021E-2</v>
      </c>
      <c r="P9" s="40" t="s">
        <v>26</v>
      </c>
      <c r="Q9" s="40">
        <v>120</v>
      </c>
    </row>
    <row r="10" spans="1:21" ht="13.5" customHeight="1" x14ac:dyDescent="0.2">
      <c r="A10" s="321">
        <v>38930</v>
      </c>
      <c r="B10" s="163">
        <v>21130000</v>
      </c>
      <c r="C10" s="322">
        <v>0</v>
      </c>
      <c r="D10" s="283">
        <f>'Weather Analysis'!M15</f>
        <v>0</v>
      </c>
      <c r="E10" s="283">
        <f>'Weather Analysis'!M35</f>
        <v>147.4</v>
      </c>
      <c r="F10" s="323">
        <v>31</v>
      </c>
      <c r="G10" s="324">
        <v>0</v>
      </c>
      <c r="H10" s="325">
        <v>136.19973478756879</v>
      </c>
      <c r="I10" s="324">
        <v>8</v>
      </c>
      <c r="J10" s="326">
        <f t="shared" si="3"/>
        <v>13584.77225959028</v>
      </c>
      <c r="K10" s="324">
        <v>351.91199999999998</v>
      </c>
      <c r="L10" s="322">
        <f>'CDM Activity'!C28</f>
        <v>43819.56735092606</v>
      </c>
      <c r="M10" s="324">
        <f t="shared" si="0"/>
        <v>21570574.236223008</v>
      </c>
      <c r="N10" s="295">
        <f t="shared" si="1"/>
        <v>440574.23622300848</v>
      </c>
      <c r="O10" s="296">
        <f t="shared" si="2"/>
        <v>2.0850650081543232E-2</v>
      </c>
      <c r="P10"/>
    </row>
    <row r="11" spans="1:21" ht="13.5" customHeight="1" thickBot="1" x14ac:dyDescent="0.25">
      <c r="A11" s="321">
        <v>38961</v>
      </c>
      <c r="B11" s="163">
        <v>15286330</v>
      </c>
      <c r="C11" s="322">
        <v>0</v>
      </c>
      <c r="D11" s="283">
        <f>'Weather Analysis'!M16</f>
        <v>52.1</v>
      </c>
      <c r="E11" s="283">
        <f>'Weather Analysis'!M36</f>
        <v>22.3</v>
      </c>
      <c r="F11" s="323">
        <v>30</v>
      </c>
      <c r="G11" s="324">
        <v>1</v>
      </c>
      <c r="H11" s="325">
        <v>136.48028394122719</v>
      </c>
      <c r="I11" s="324">
        <v>9</v>
      </c>
      <c r="J11" s="326">
        <f t="shared" si="3"/>
        <v>13591.849788077026</v>
      </c>
      <c r="K11" s="324">
        <v>319.68</v>
      </c>
      <c r="L11" s="322">
        <f>'CDM Activity'!C29</f>
        <v>49297.013269791816</v>
      </c>
      <c r="M11" s="324">
        <f t="shared" si="0"/>
        <v>14937904.027193876</v>
      </c>
      <c r="N11" s="295">
        <f t="shared" si="1"/>
        <v>-348425.97280612402</v>
      </c>
      <c r="O11" s="296">
        <f t="shared" si="2"/>
        <v>2.2793304397204825E-2</v>
      </c>
      <c r="P11" t="s">
        <v>27</v>
      </c>
    </row>
    <row r="12" spans="1:21" ht="13.5" customHeight="1" x14ac:dyDescent="0.2">
      <c r="A12" s="321">
        <v>38991</v>
      </c>
      <c r="B12" s="163">
        <v>15621710</v>
      </c>
      <c r="C12" s="322">
        <v>0</v>
      </c>
      <c r="D12" s="283">
        <f>'Weather Analysis'!M17</f>
        <v>251.3</v>
      </c>
      <c r="E12" s="283">
        <f>'Weather Analysis'!M37</f>
        <v>2.2999999999999998</v>
      </c>
      <c r="F12" s="323">
        <v>31</v>
      </c>
      <c r="G12" s="324">
        <v>1</v>
      </c>
      <c r="H12" s="325">
        <v>136.76141098020776</v>
      </c>
      <c r="I12" s="324">
        <v>10</v>
      </c>
      <c r="J12" s="326">
        <f t="shared" si="3"/>
        <v>13598.927316563773</v>
      </c>
      <c r="K12" s="324">
        <v>336.28800000000001</v>
      </c>
      <c r="L12" s="322">
        <f>'CDM Activity'!C30</f>
        <v>54774.459188657573</v>
      </c>
      <c r="M12" s="324">
        <f t="shared" si="0"/>
        <v>16289053.361600181</v>
      </c>
      <c r="N12" s="295">
        <f t="shared" si="1"/>
        <v>667343.36160018109</v>
      </c>
      <c r="O12" s="296">
        <f t="shared" si="2"/>
        <v>4.2718970048745052E-2</v>
      </c>
      <c r="P12" s="41"/>
      <c r="Q12" s="41" t="s">
        <v>31</v>
      </c>
      <c r="R12" s="41" t="s">
        <v>32</v>
      </c>
      <c r="S12" s="41" t="s">
        <v>33</v>
      </c>
      <c r="T12" s="41" t="s">
        <v>34</v>
      </c>
      <c r="U12" s="41" t="s">
        <v>35</v>
      </c>
    </row>
    <row r="13" spans="1:21" ht="13.5" customHeight="1" x14ac:dyDescent="0.2">
      <c r="A13" s="321">
        <v>39022</v>
      </c>
      <c r="B13" s="163">
        <v>19270390</v>
      </c>
      <c r="C13" s="322">
        <v>0</v>
      </c>
      <c r="D13" s="283">
        <f>'Weather Analysis'!M18</f>
        <v>356.8</v>
      </c>
      <c r="E13" s="283">
        <f>'Weather Analysis'!M38</f>
        <v>0</v>
      </c>
      <c r="F13" s="323">
        <v>30</v>
      </c>
      <c r="G13" s="324">
        <v>1</v>
      </c>
      <c r="H13" s="325">
        <v>137.04311709485967</v>
      </c>
      <c r="I13" s="324">
        <v>11</v>
      </c>
      <c r="J13" s="326">
        <f t="shared" si="3"/>
        <v>13606.00484505052</v>
      </c>
      <c r="K13" s="324">
        <v>352.08</v>
      </c>
      <c r="L13" s="322">
        <f>'CDM Activity'!C31</f>
        <v>60251.905107523329</v>
      </c>
      <c r="M13" s="324">
        <f t="shared" si="0"/>
        <v>16371426.428834746</v>
      </c>
      <c r="N13" s="295">
        <f t="shared" si="1"/>
        <v>-2898963.5711652543</v>
      </c>
      <c r="O13" s="296">
        <f t="shared" si="2"/>
        <v>0.15043616507840549</v>
      </c>
      <c r="P13" s="26" t="s">
        <v>28</v>
      </c>
      <c r="Q13" s="26">
        <v>5</v>
      </c>
      <c r="R13" s="26">
        <v>829460963630856.25</v>
      </c>
      <c r="S13" s="26">
        <v>165892192726171.25</v>
      </c>
      <c r="T13" s="155">
        <v>192.71016682340675</v>
      </c>
      <c r="U13" s="26">
        <v>7.0372815772610111E-54</v>
      </c>
    </row>
    <row r="14" spans="1:21" ht="13.5" customHeight="1" x14ac:dyDescent="0.2">
      <c r="A14" s="321">
        <v>39052</v>
      </c>
      <c r="B14" s="163">
        <v>22725770</v>
      </c>
      <c r="C14" s="322">
        <v>0</v>
      </c>
      <c r="D14" s="283">
        <f>'Weather Analysis'!M19</f>
        <v>460.4</v>
      </c>
      <c r="E14" s="283">
        <f>'Weather Analysis'!M39</f>
        <v>0</v>
      </c>
      <c r="F14" s="323">
        <v>31</v>
      </c>
      <c r="G14" s="324">
        <v>0</v>
      </c>
      <c r="H14" s="325">
        <v>137.32540347798411</v>
      </c>
      <c r="I14" s="324">
        <v>12</v>
      </c>
      <c r="J14" s="326">
        <f t="shared" si="3"/>
        <v>13613.082373537267</v>
      </c>
      <c r="K14" s="324">
        <v>304.29599999999999</v>
      </c>
      <c r="L14" s="322">
        <f>'CDM Activity'!C32</f>
        <v>65729.351026389093</v>
      </c>
      <c r="M14" s="324">
        <f t="shared" si="0"/>
        <v>18683336.329409905</v>
      </c>
      <c r="N14" s="295">
        <f t="shared" si="1"/>
        <v>-4042433.6705900952</v>
      </c>
      <c r="O14" s="296">
        <f t="shared" si="2"/>
        <v>0.17787884285505376</v>
      </c>
      <c r="P14" s="26" t="s">
        <v>29</v>
      </c>
      <c r="Q14" s="26">
        <v>114</v>
      </c>
      <c r="R14" s="26">
        <v>98135507236178.094</v>
      </c>
      <c r="S14" s="26">
        <v>860837782773.49207</v>
      </c>
      <c r="T14" s="26"/>
      <c r="U14" s="26"/>
    </row>
    <row r="15" spans="1:21" ht="13.5" thickBot="1" x14ac:dyDescent="0.25">
      <c r="A15" s="321">
        <v>39083</v>
      </c>
      <c r="B15" s="163">
        <v>23594230</v>
      </c>
      <c r="C15" s="163">
        <v>5640928.8553600004</v>
      </c>
      <c r="D15" s="283">
        <f>'Weather Analysis'!N8</f>
        <v>602.4</v>
      </c>
      <c r="E15" s="283">
        <f>'Weather Analysis'!N28</f>
        <v>0</v>
      </c>
      <c r="F15" s="323">
        <v>31</v>
      </c>
      <c r="G15" s="324">
        <v>0</v>
      </c>
      <c r="H15" s="325">
        <v>137.552207546647</v>
      </c>
      <c r="I15" s="324">
        <v>13</v>
      </c>
      <c r="J15" s="326">
        <f t="shared" si="3"/>
        <v>13620.159902024014</v>
      </c>
      <c r="K15" s="324">
        <v>351.91199999999998</v>
      </c>
      <c r="L15" s="322">
        <f>'CDM Activity'!C33</f>
        <v>71465.109706415606</v>
      </c>
      <c r="M15" s="324">
        <f t="shared" si="0"/>
        <v>23232680.342512317</v>
      </c>
      <c r="N15" s="295">
        <f t="shared" si="1"/>
        <v>-361549.657487683</v>
      </c>
      <c r="O15" s="296">
        <f t="shared" si="2"/>
        <v>1.5323647242892986E-2</v>
      </c>
      <c r="P15" s="40" t="s">
        <v>11</v>
      </c>
      <c r="Q15" s="40">
        <v>119</v>
      </c>
      <c r="R15" s="40">
        <v>927596470867034.37</v>
      </c>
      <c r="S15" s="40"/>
      <c r="T15" s="40"/>
      <c r="U15" s="40"/>
    </row>
    <row r="16" spans="1:21" ht="13.5" thickBot="1" x14ac:dyDescent="0.25">
      <c r="A16" s="321">
        <v>39114</v>
      </c>
      <c r="B16" s="163">
        <v>23081780</v>
      </c>
      <c r="C16" s="163">
        <v>5726856.6157</v>
      </c>
      <c r="D16" s="283">
        <f>'Weather Analysis'!N9</f>
        <v>706.1</v>
      </c>
      <c r="E16" s="283">
        <f>'Weather Analysis'!N29</f>
        <v>0</v>
      </c>
      <c r="F16" s="323">
        <v>28</v>
      </c>
      <c r="G16" s="324">
        <v>0</v>
      </c>
      <c r="H16" s="325">
        <v>137.77938620066888</v>
      </c>
      <c r="I16" s="324">
        <v>14</v>
      </c>
      <c r="J16" s="326">
        <f t="shared" si="3"/>
        <v>13627.237430510761</v>
      </c>
      <c r="K16" s="324">
        <v>319.87200000000001</v>
      </c>
      <c r="L16" s="322">
        <f>'CDM Activity'!C34</f>
        <v>77200.868386442118</v>
      </c>
      <c r="M16" s="324">
        <f t="shared" si="0"/>
        <v>22145229.734127641</v>
      </c>
      <c r="N16" s="295">
        <f t="shared" si="1"/>
        <v>-936550.26587235928</v>
      </c>
      <c r="O16" s="296">
        <f t="shared" si="2"/>
        <v>4.0575305105254415E-2</v>
      </c>
      <c r="P16"/>
    </row>
    <row r="17" spans="1:22" x14ac:dyDescent="0.2">
      <c r="A17" s="321">
        <v>39142</v>
      </c>
      <c r="B17" s="163">
        <v>22044680</v>
      </c>
      <c r="C17" s="163">
        <v>5870658.413540001</v>
      </c>
      <c r="D17" s="283">
        <f>'Weather Analysis'!N10</f>
        <v>429.3</v>
      </c>
      <c r="E17" s="283">
        <f>'Weather Analysis'!N30</f>
        <v>0.2</v>
      </c>
      <c r="F17" s="323">
        <v>31</v>
      </c>
      <c r="G17" s="324">
        <v>1</v>
      </c>
      <c r="H17" s="325">
        <v>138.00694005870795</v>
      </c>
      <c r="I17" s="324">
        <v>15</v>
      </c>
      <c r="J17" s="326">
        <f t="shared" si="3"/>
        <v>13634.314958997507</v>
      </c>
      <c r="K17" s="324">
        <v>351.91199999999998</v>
      </c>
      <c r="L17" s="322">
        <f>'CDM Activity'!C35</f>
        <v>82936.627066468631</v>
      </c>
      <c r="M17" s="324">
        <f t="shared" si="0"/>
        <v>21170787.986729577</v>
      </c>
      <c r="N17" s="295">
        <f t="shared" si="1"/>
        <v>-873892.01327042282</v>
      </c>
      <c r="O17" s="296">
        <f t="shared" si="2"/>
        <v>3.9641855235386624E-2</v>
      </c>
      <c r="P17" s="41"/>
      <c r="Q17" s="41" t="s">
        <v>36</v>
      </c>
      <c r="R17" s="41" t="s">
        <v>25</v>
      </c>
      <c r="S17" s="41" t="s">
        <v>37</v>
      </c>
      <c r="T17" s="41" t="s">
        <v>38</v>
      </c>
      <c r="U17" s="41" t="s">
        <v>39</v>
      </c>
      <c r="V17" s="41" t="s">
        <v>40</v>
      </c>
    </row>
    <row r="18" spans="1:22" x14ac:dyDescent="0.2">
      <c r="A18" s="321">
        <v>39173</v>
      </c>
      <c r="B18" s="163">
        <v>19604320</v>
      </c>
      <c r="C18" s="163">
        <v>6324876.1716799997</v>
      </c>
      <c r="D18" s="283">
        <f>'Weather Analysis'!N11</f>
        <v>285.2</v>
      </c>
      <c r="E18" s="283">
        <f>'Weather Analysis'!N31</f>
        <v>0.9</v>
      </c>
      <c r="F18" s="323">
        <v>30</v>
      </c>
      <c r="G18" s="324">
        <v>1</v>
      </c>
      <c r="H18" s="325">
        <v>138.23486974044414</v>
      </c>
      <c r="I18" s="324">
        <v>16</v>
      </c>
      <c r="J18" s="326">
        <f t="shared" si="3"/>
        <v>13641.392487484254</v>
      </c>
      <c r="K18" s="324">
        <v>319.68</v>
      </c>
      <c r="L18" s="322">
        <f>'CDM Activity'!C36</f>
        <v>88672.385746495143</v>
      </c>
      <c r="M18" s="324">
        <f t="shared" si="0"/>
        <v>19675688.889341198</v>
      </c>
      <c r="N18" s="295">
        <f t="shared" si="1"/>
        <v>71368.889341197908</v>
      </c>
      <c r="O18" s="296">
        <f t="shared" si="2"/>
        <v>3.6404674755971087E-3</v>
      </c>
      <c r="P18" s="26" t="s">
        <v>30</v>
      </c>
      <c r="Q18" s="311">
        <v>-5282170.4279399617</v>
      </c>
      <c r="R18" s="155">
        <v>3277944.1108981585</v>
      </c>
      <c r="S18" s="155">
        <v>-1.6114278490528151</v>
      </c>
      <c r="T18" s="155">
        <v>0.10985180076879106</v>
      </c>
      <c r="U18" s="155">
        <v>-11775752.464824541</v>
      </c>
      <c r="V18" s="155">
        <v>1211411.6089446172</v>
      </c>
    </row>
    <row r="19" spans="1:22" x14ac:dyDescent="0.2">
      <c r="A19" s="321">
        <v>39203</v>
      </c>
      <c r="B19" s="163">
        <v>20629530</v>
      </c>
      <c r="C19" s="163">
        <v>6479920.0236</v>
      </c>
      <c r="D19" s="283">
        <f>'Weather Analysis'!N12</f>
        <v>87.2</v>
      </c>
      <c r="E19" s="283">
        <f>'Weather Analysis'!N32</f>
        <v>46</v>
      </c>
      <c r="F19" s="323">
        <v>31</v>
      </c>
      <c r="G19" s="324">
        <v>1</v>
      </c>
      <c r="H19" s="325">
        <v>138.46317586658083</v>
      </c>
      <c r="I19" s="324">
        <v>17</v>
      </c>
      <c r="J19" s="326">
        <f t="shared" si="3"/>
        <v>13648.470015971001</v>
      </c>
      <c r="K19" s="324">
        <v>351.91199999999998</v>
      </c>
      <c r="L19" s="322">
        <f>'CDM Activity'!C37</f>
        <v>94408.144426521656</v>
      </c>
      <c r="M19" s="324">
        <f t="shared" si="0"/>
        <v>20853374.531847365</v>
      </c>
      <c r="N19" s="295">
        <f t="shared" si="1"/>
        <v>223844.5318473652</v>
      </c>
      <c r="O19" s="296">
        <f t="shared" si="2"/>
        <v>1.0850685005783709E-2</v>
      </c>
      <c r="P19" s="314" t="s">
        <v>292</v>
      </c>
      <c r="Q19" s="157">
        <v>0.60617872814964491</v>
      </c>
      <c r="R19" s="155">
        <v>5.4541288772621127E-2</v>
      </c>
      <c r="S19" s="155">
        <v>11.114125496314585</v>
      </c>
      <c r="T19" s="155">
        <v>6.9086728434799752E-20</v>
      </c>
      <c r="U19" s="155">
        <v>0.4981328551694052</v>
      </c>
      <c r="V19" s="155">
        <v>0.71422460112988462</v>
      </c>
    </row>
    <row r="20" spans="1:22" x14ac:dyDescent="0.2">
      <c r="A20" s="321">
        <v>39234</v>
      </c>
      <c r="B20" s="163">
        <v>23858190</v>
      </c>
      <c r="C20" s="163">
        <v>6947011.5188399991</v>
      </c>
      <c r="D20" s="283">
        <f>'Weather Analysis'!N13</f>
        <v>8.1</v>
      </c>
      <c r="E20" s="283">
        <f>'Weather Analysis'!N33</f>
        <v>132.19999999999999</v>
      </c>
      <c r="F20" s="323">
        <v>30</v>
      </c>
      <c r="G20" s="324">
        <v>0</v>
      </c>
      <c r="H20" s="325">
        <v>138.69185905884657</v>
      </c>
      <c r="I20" s="324">
        <v>18</v>
      </c>
      <c r="J20" s="327">
        <f>'Rate Class Customer Model'!I5</f>
        <v>13655.547544457753</v>
      </c>
      <c r="K20" s="324">
        <v>336.24</v>
      </c>
      <c r="L20" s="322">
        <f>'CDM Activity'!C38</f>
        <v>100143.90310654817</v>
      </c>
      <c r="M20" s="324">
        <f t="shared" si="0"/>
        <v>24515736.192390766</v>
      </c>
      <c r="N20" s="295">
        <f t="shared" si="1"/>
        <v>657546.19239076599</v>
      </c>
      <c r="O20" s="296">
        <f t="shared" si="2"/>
        <v>2.7560606751424396E-2</v>
      </c>
      <c r="P20" s="26" t="s">
        <v>3</v>
      </c>
      <c r="Q20" s="311">
        <v>7957.2741829412253</v>
      </c>
      <c r="R20" s="155">
        <v>696.91680702690587</v>
      </c>
      <c r="S20" s="155">
        <v>11.417825058470743</v>
      </c>
      <c r="T20" s="155">
        <v>1.3518720985311954E-20</v>
      </c>
      <c r="U20" s="155">
        <v>6576.6873558909965</v>
      </c>
      <c r="V20" s="155">
        <v>9337.8610099914549</v>
      </c>
    </row>
    <row r="21" spans="1:22" x14ac:dyDescent="0.2">
      <c r="A21" s="321">
        <v>39264</v>
      </c>
      <c r="B21" s="163">
        <v>24738400</v>
      </c>
      <c r="C21" s="163">
        <v>4986922.7311199997</v>
      </c>
      <c r="D21" s="283">
        <f>'Weather Analysis'!N14</f>
        <v>1.3</v>
      </c>
      <c r="E21" s="283">
        <f>'Weather Analysis'!N34</f>
        <v>148.19999999999999</v>
      </c>
      <c r="F21" s="323">
        <v>31</v>
      </c>
      <c r="G21" s="324">
        <v>0</v>
      </c>
      <c r="H21" s="325">
        <v>138.92091993999671</v>
      </c>
      <c r="I21" s="324">
        <v>19</v>
      </c>
      <c r="J21" s="326">
        <f t="shared" ref="J21:J31" si="4">($J$32-$J$20)/12+J20</f>
        <v>13658.960863355755</v>
      </c>
      <c r="K21" s="324">
        <v>336.28800000000001</v>
      </c>
      <c r="L21" s="322">
        <f>'CDM Activity'!C39</f>
        <v>105879.66178657468</v>
      </c>
      <c r="M21" s="324">
        <f t="shared" si="0"/>
        <v>24639438.858793549</v>
      </c>
      <c r="N21" s="295">
        <f t="shared" si="1"/>
        <v>-98961.14120645076</v>
      </c>
      <c r="O21" s="296">
        <f t="shared" si="2"/>
        <v>4.0003048380837384E-3</v>
      </c>
      <c r="P21" s="26" t="s">
        <v>4</v>
      </c>
      <c r="Q21" s="311">
        <v>44442.1095023015</v>
      </c>
      <c r="R21" s="155">
        <v>3124.4234967447837</v>
      </c>
      <c r="S21" s="155">
        <v>14.224099117358456</v>
      </c>
      <c r="T21" s="155">
        <v>5.0519456272116903E-27</v>
      </c>
      <c r="U21" s="155">
        <v>38252.650619635278</v>
      </c>
      <c r="V21" s="155">
        <v>50631.568384967723</v>
      </c>
    </row>
    <row r="22" spans="1:22" x14ac:dyDescent="0.2">
      <c r="A22" s="321">
        <v>39295</v>
      </c>
      <c r="B22" s="163">
        <v>26868930</v>
      </c>
      <c r="C22" s="163">
        <v>5337196.0046000006</v>
      </c>
      <c r="D22" s="283">
        <f>'Weather Analysis'!N15</f>
        <v>4.4000000000000004</v>
      </c>
      <c r="E22" s="283">
        <f>'Weather Analysis'!N35</f>
        <v>167.4</v>
      </c>
      <c r="F22" s="323">
        <v>31</v>
      </c>
      <c r="G22" s="324">
        <v>0</v>
      </c>
      <c r="H22" s="325">
        <v>139.15035913381516</v>
      </c>
      <c r="I22" s="324">
        <v>20</v>
      </c>
      <c r="J22" s="326">
        <f t="shared" si="4"/>
        <v>13662.374182253756</v>
      </c>
      <c r="K22" s="324">
        <v>351.91199999999998</v>
      </c>
      <c r="L22" s="322">
        <f>'CDM Activity'!C40</f>
        <v>111615.42046660119</v>
      </c>
      <c r="M22" s="324">
        <f t="shared" si="0"/>
        <v>25729723.118627775</v>
      </c>
      <c r="N22" s="295">
        <f t="shared" si="1"/>
        <v>-1139206.8813722245</v>
      </c>
      <c r="O22" s="296">
        <f t="shared" si="2"/>
        <v>4.239866944356268E-2</v>
      </c>
      <c r="P22" s="26" t="s">
        <v>5</v>
      </c>
      <c r="Q22" s="311">
        <v>654902.5072104428</v>
      </c>
      <c r="R22" s="155">
        <v>107876.65295204053</v>
      </c>
      <c r="S22" s="155">
        <v>6.0708456305332099</v>
      </c>
      <c r="T22" s="155">
        <v>1.7112202775490956E-8</v>
      </c>
      <c r="U22" s="155">
        <v>441199.68858103571</v>
      </c>
      <c r="V22" s="155">
        <v>868605.32583984989</v>
      </c>
    </row>
    <row r="23" spans="1:22" ht="13.5" thickBot="1" x14ac:dyDescent="0.25">
      <c r="A23" s="321">
        <v>39326</v>
      </c>
      <c r="B23" s="163">
        <v>21805090</v>
      </c>
      <c r="C23" s="163">
        <v>5816997.7248800006</v>
      </c>
      <c r="D23" s="283">
        <f>'Weather Analysis'!N16</f>
        <v>25.4</v>
      </c>
      <c r="E23" s="283">
        <f>'Weather Analysis'!N36</f>
        <v>76.400000000000006</v>
      </c>
      <c r="F23" s="323">
        <v>30</v>
      </c>
      <c r="G23" s="324">
        <v>1</v>
      </c>
      <c r="H23" s="325">
        <v>139.38017726511606</v>
      </c>
      <c r="I23" s="324">
        <v>21</v>
      </c>
      <c r="J23" s="326">
        <f t="shared" si="4"/>
        <v>13665.787501151757</v>
      </c>
      <c r="K23" s="324">
        <v>303.83999999999997</v>
      </c>
      <c r="L23" s="322">
        <f>'CDM Activity'!C41</f>
        <v>117351.17914662771</v>
      </c>
      <c r="M23" s="324">
        <f t="shared" si="0"/>
        <v>20655903.213100992</v>
      </c>
      <c r="N23" s="295">
        <f t="shared" si="1"/>
        <v>-1149186.7868990079</v>
      </c>
      <c r="O23" s="296">
        <f t="shared" si="2"/>
        <v>5.2702684873073571E-2</v>
      </c>
      <c r="P23" s="313" t="s">
        <v>19</v>
      </c>
      <c r="Q23" s="312">
        <v>-832633.78801200737</v>
      </c>
      <c r="R23" s="156">
        <v>265087.08877840755</v>
      </c>
      <c r="S23" s="156">
        <v>-3.1409820517815761</v>
      </c>
      <c r="T23" s="156">
        <v>2.1452850926757046E-3</v>
      </c>
      <c r="U23" s="156">
        <v>-1357769.2691748757</v>
      </c>
      <c r="V23" s="156">
        <v>-307498.30684913904</v>
      </c>
    </row>
    <row r="24" spans="1:22" x14ac:dyDescent="0.2">
      <c r="A24" s="321">
        <v>39356</v>
      </c>
      <c r="B24" s="163">
        <v>20415380</v>
      </c>
      <c r="C24" s="163">
        <v>4576724.3739799997</v>
      </c>
      <c r="D24" s="283">
        <f>'Weather Analysis'!N17</f>
        <v>111.2</v>
      </c>
      <c r="E24" s="283">
        <f>'Weather Analysis'!N37</f>
        <v>42.3</v>
      </c>
      <c r="F24" s="323">
        <v>31</v>
      </c>
      <c r="G24" s="324">
        <v>1</v>
      </c>
      <c r="H24" s="325">
        <v>139.61037495974546</v>
      </c>
      <c r="I24" s="324">
        <v>22</v>
      </c>
      <c r="J24" s="326">
        <f t="shared" si="4"/>
        <v>13669.200820049758</v>
      </c>
      <c r="K24" s="324">
        <v>351.91199999999998</v>
      </c>
      <c r="L24" s="322">
        <f>'CDM Activity'!C42</f>
        <v>123086.93782665422</v>
      </c>
      <c r="M24" s="324">
        <f t="shared" si="0"/>
        <v>19726236.588772852</v>
      </c>
      <c r="N24" s="295">
        <f t="shared" si="1"/>
        <v>-689143.41122714803</v>
      </c>
      <c r="O24" s="296">
        <f t="shared" si="2"/>
        <v>3.3756090321470776E-2</v>
      </c>
    </row>
    <row r="25" spans="1:22" x14ac:dyDescent="0.2">
      <c r="A25" s="321">
        <v>39387</v>
      </c>
      <c r="B25" s="163">
        <v>20794820</v>
      </c>
      <c r="C25" s="163">
        <v>4310941.5416200003</v>
      </c>
      <c r="D25" s="283">
        <f>'Weather Analysis'!N18</f>
        <v>400.3</v>
      </c>
      <c r="E25" s="283">
        <f>'Weather Analysis'!N38</f>
        <v>0</v>
      </c>
      <c r="F25" s="323">
        <v>30</v>
      </c>
      <c r="G25" s="324">
        <v>1</v>
      </c>
      <c r="H25" s="325">
        <v>139.84095284458306</v>
      </c>
      <c r="I25" s="324">
        <v>23</v>
      </c>
      <c r="J25" s="326">
        <f t="shared" si="4"/>
        <v>13672.61413894776</v>
      </c>
      <c r="K25" s="324">
        <v>352.08</v>
      </c>
      <c r="L25" s="322">
        <f>'CDM Activity'!C43</f>
        <v>128822.69650668073</v>
      </c>
      <c r="M25" s="324">
        <f t="shared" si="0"/>
        <v>19330768.916619368</v>
      </c>
      <c r="N25" s="295">
        <f t="shared" si="1"/>
        <v>-1464051.0833806321</v>
      </c>
      <c r="O25" s="296">
        <f t="shared" si="2"/>
        <v>7.0404604770833892E-2</v>
      </c>
    </row>
    <row r="26" spans="1:22" x14ac:dyDescent="0.2">
      <c r="A26" s="321">
        <v>39417</v>
      </c>
      <c r="B26" s="163">
        <v>23640870</v>
      </c>
      <c r="C26" s="163">
        <v>5649229.7246400006</v>
      </c>
      <c r="D26" s="283">
        <f>'Weather Analysis'!N19</f>
        <v>595</v>
      </c>
      <c r="E26" s="283">
        <f>'Weather Analysis'!N39</f>
        <v>0</v>
      </c>
      <c r="F26" s="323">
        <v>31</v>
      </c>
      <c r="G26" s="324">
        <v>0</v>
      </c>
      <c r="H26" s="325">
        <v>140.07191154754381</v>
      </c>
      <c r="I26" s="324">
        <v>24</v>
      </c>
      <c r="J26" s="326">
        <f t="shared" si="4"/>
        <v>13676.027457845761</v>
      </c>
      <c r="K26" s="324">
        <v>304.29599999999999</v>
      </c>
      <c r="L26" s="322">
        <f>'CDM Activity'!C44</f>
        <v>134558.45518670726</v>
      </c>
      <c r="M26" s="324">
        <f t="shared" si="0"/>
        <v>23178828.323941238</v>
      </c>
      <c r="N26" s="295">
        <f t="shared" si="1"/>
        <v>-462041.67605876178</v>
      </c>
      <c r="O26" s="296">
        <f t="shared" si="2"/>
        <v>1.9544190888861609E-2</v>
      </c>
      <c r="P26"/>
    </row>
    <row r="27" spans="1:22" x14ac:dyDescent="0.2">
      <c r="A27" s="321">
        <v>39448</v>
      </c>
      <c r="B27" s="323">
        <v>24088720</v>
      </c>
      <c r="C27" s="163">
        <v>5752803.102</v>
      </c>
      <c r="D27" s="328">
        <f>'Weather Analysis'!O8</f>
        <v>611.20000000000005</v>
      </c>
      <c r="E27" s="328">
        <f>'Weather Analysis'!O28</f>
        <v>0</v>
      </c>
      <c r="F27" s="323">
        <v>31</v>
      </c>
      <c r="G27" s="324">
        <v>0</v>
      </c>
      <c r="H27" s="329">
        <v>139.96642175819056</v>
      </c>
      <c r="I27" s="324">
        <v>25</v>
      </c>
      <c r="J27" s="326">
        <f t="shared" si="4"/>
        <v>13679.440776743762</v>
      </c>
      <c r="K27" s="330">
        <v>352</v>
      </c>
      <c r="L27" s="322">
        <f>'CDM Activity'!C45</f>
        <v>134126.2778848157</v>
      </c>
      <c r="M27" s="324">
        <f t="shared" si="0"/>
        <v>23370520.143863134</v>
      </c>
      <c r="N27" s="295">
        <f t="shared" si="1"/>
        <v>-718199.85613686591</v>
      </c>
      <c r="O27" s="296">
        <f t="shared" si="2"/>
        <v>2.9814778707082233E-2</v>
      </c>
      <c r="P27"/>
    </row>
    <row r="28" spans="1:22" x14ac:dyDescent="0.2">
      <c r="A28" s="321">
        <v>39479</v>
      </c>
      <c r="B28" s="323">
        <v>22590240</v>
      </c>
      <c r="C28" s="163">
        <v>5767472.2287599994</v>
      </c>
      <c r="D28" s="328">
        <f>'Weather Analysis'!O9</f>
        <v>629.29999999999995</v>
      </c>
      <c r="E28" s="328">
        <f>'Weather Analysis'!O29</f>
        <v>0</v>
      </c>
      <c r="F28" s="323">
        <v>29</v>
      </c>
      <c r="G28" s="324">
        <v>0</v>
      </c>
      <c r="H28" s="329">
        <v>139.86101141442734</v>
      </c>
      <c r="I28" s="324">
        <v>26</v>
      </c>
      <c r="J28" s="326">
        <f t="shared" si="4"/>
        <v>13682.854095641764</v>
      </c>
      <c r="K28" s="330">
        <v>320</v>
      </c>
      <c r="L28" s="322">
        <f>'CDM Activity'!C46</f>
        <v>133694.10058292415</v>
      </c>
      <c r="M28" s="324">
        <f t="shared" si="0"/>
        <v>22213633.904755924</v>
      </c>
      <c r="N28" s="295">
        <f t="shared" si="1"/>
        <v>-376606.0952440761</v>
      </c>
      <c r="O28" s="296">
        <f t="shared" si="2"/>
        <v>1.6671186107100947E-2</v>
      </c>
      <c r="P28"/>
    </row>
    <row r="29" spans="1:22" x14ac:dyDescent="0.2">
      <c r="A29" s="321">
        <v>39508</v>
      </c>
      <c r="B29" s="323">
        <v>22046700</v>
      </c>
      <c r="C29" s="163">
        <v>5473594.7252799999</v>
      </c>
      <c r="D29" s="328">
        <f>'Weather Analysis'!O10</f>
        <v>541.6</v>
      </c>
      <c r="E29" s="328">
        <f>'Weather Analysis'!O30</f>
        <v>0</v>
      </c>
      <c r="F29" s="323">
        <v>31</v>
      </c>
      <c r="G29" s="324">
        <v>1</v>
      </c>
      <c r="H29" s="329">
        <v>139.75568045642274</v>
      </c>
      <c r="I29" s="324">
        <v>27</v>
      </c>
      <c r="J29" s="326">
        <f t="shared" si="4"/>
        <v>13686.267414539765</v>
      </c>
      <c r="K29" s="330">
        <v>304</v>
      </c>
      <c r="L29" s="322">
        <f>'CDM Activity'!C47</f>
        <v>133261.92328103259</v>
      </c>
      <c r="M29" s="324">
        <f t="shared" si="0"/>
        <v>21814809.894029561</v>
      </c>
      <c r="N29" s="295">
        <f t="shared" si="1"/>
        <v>-231890.10597043857</v>
      </c>
      <c r="O29" s="296">
        <f t="shared" si="2"/>
        <v>1.0518132236136863E-2</v>
      </c>
      <c r="P29"/>
    </row>
    <row r="30" spans="1:22" x14ac:dyDescent="0.2">
      <c r="A30" s="321">
        <v>39539</v>
      </c>
      <c r="B30" s="323">
        <v>18811030</v>
      </c>
      <c r="C30" s="163">
        <v>5298991.7349999994</v>
      </c>
      <c r="D30" s="328">
        <f>'Weather Analysis'!O11</f>
        <v>223.8</v>
      </c>
      <c r="E30" s="328">
        <f>'Weather Analysis'!O31</f>
        <v>1.3</v>
      </c>
      <c r="F30" s="323">
        <v>30</v>
      </c>
      <c r="G30" s="324">
        <v>1</v>
      </c>
      <c r="H30" s="329">
        <v>139.65042882439042</v>
      </c>
      <c r="I30" s="324">
        <v>28</v>
      </c>
      <c r="J30" s="326">
        <f t="shared" si="4"/>
        <v>13689.680733437766</v>
      </c>
      <c r="K30" s="330">
        <v>352</v>
      </c>
      <c r="L30" s="322">
        <f>'CDM Activity'!C48</f>
        <v>132829.74597914104</v>
      </c>
      <c r="M30" s="324">
        <f t="shared" si="0"/>
        <v>18583019.775254332</v>
      </c>
      <c r="N30" s="295">
        <f t="shared" si="1"/>
        <v>-228010.22474566847</v>
      </c>
      <c r="O30" s="296">
        <f t="shared" si="2"/>
        <v>1.2121091973468145E-2</v>
      </c>
      <c r="P30"/>
    </row>
    <row r="31" spans="1:22" x14ac:dyDescent="0.2">
      <c r="A31" s="321">
        <v>39569</v>
      </c>
      <c r="B31" s="323">
        <v>18644710</v>
      </c>
      <c r="C31" s="163">
        <v>4060756.2636800003</v>
      </c>
      <c r="D31" s="328">
        <f>'Weather Analysis'!O12</f>
        <v>143.4</v>
      </c>
      <c r="E31" s="328">
        <f>'Weather Analysis'!O32</f>
        <v>11.6</v>
      </c>
      <c r="F31" s="323">
        <v>31</v>
      </c>
      <c r="G31" s="324">
        <v>1</v>
      </c>
      <c r="H31" s="329">
        <v>139.54525645858905</v>
      </c>
      <c r="I31" s="324">
        <v>29</v>
      </c>
      <c r="J31" s="326">
        <f t="shared" si="4"/>
        <v>13693.094052335768</v>
      </c>
      <c r="K31" s="330">
        <v>336</v>
      </c>
      <c r="L31" s="322">
        <f>'CDM Activity'!C49</f>
        <v>132397.56867724948</v>
      </c>
      <c r="M31" s="324">
        <f t="shared" si="0"/>
        <v>18305319.162875473</v>
      </c>
      <c r="N31" s="295">
        <f t="shared" si="1"/>
        <v>-339390.8371245265</v>
      </c>
      <c r="O31" s="296">
        <f t="shared" si="2"/>
        <v>1.8203063342070031E-2</v>
      </c>
      <c r="P31"/>
    </row>
    <row r="32" spans="1:22" x14ac:dyDescent="0.2">
      <c r="A32" s="321">
        <v>39600</v>
      </c>
      <c r="B32" s="323">
        <v>22711700</v>
      </c>
      <c r="C32" s="163">
        <v>3930548.8623999991</v>
      </c>
      <c r="D32" s="328">
        <f>'Weather Analysis'!O13</f>
        <v>3.2</v>
      </c>
      <c r="E32" s="328">
        <f>'Weather Analysis'!O33</f>
        <v>123.9</v>
      </c>
      <c r="F32" s="323">
        <v>30</v>
      </c>
      <c r="G32" s="324">
        <v>0</v>
      </c>
      <c r="H32" s="329">
        <v>139.44016329932234</v>
      </c>
      <c r="I32" s="324">
        <v>30</v>
      </c>
      <c r="J32" s="327">
        <f>'Rate Class Customer Model'!I6</f>
        <v>13696.50737123376</v>
      </c>
      <c r="K32" s="330">
        <v>336</v>
      </c>
      <c r="L32" s="322">
        <f>'CDM Activity'!C50</f>
        <v>131965.39137535793</v>
      </c>
      <c r="M32" s="324">
        <f t="shared" si="0"/>
        <v>22279360.543433554</v>
      </c>
      <c r="N32" s="295">
        <f t="shared" si="1"/>
        <v>-432339.45656644553</v>
      </c>
      <c r="O32" s="296">
        <f t="shared" si="2"/>
        <v>1.9035979542105855E-2</v>
      </c>
      <c r="P32"/>
    </row>
    <row r="33" spans="1:16" x14ac:dyDescent="0.2">
      <c r="A33" s="321">
        <v>39630</v>
      </c>
      <c r="B33" s="323">
        <v>26419990</v>
      </c>
      <c r="C33" s="163">
        <v>4720571.4441000009</v>
      </c>
      <c r="D33" s="328">
        <f>'Weather Analysis'!O14</f>
        <v>0.3</v>
      </c>
      <c r="E33" s="328">
        <f>'Weather Analysis'!O34</f>
        <v>188.6</v>
      </c>
      <c r="F33" s="323">
        <v>31</v>
      </c>
      <c r="G33" s="324">
        <v>0</v>
      </c>
      <c r="H33" s="329">
        <v>139.3351492869389</v>
      </c>
      <c r="I33" s="324">
        <v>31</v>
      </c>
      <c r="J33" s="326">
        <f t="shared" ref="J33:J43" si="5">($J$44-$J$32)/12+J32</f>
        <v>13707.048423630946</v>
      </c>
      <c r="K33" s="330">
        <v>352</v>
      </c>
      <c r="L33" s="322">
        <f>'CDM Activity'!C51</f>
        <v>131533.21407346637</v>
      </c>
      <c r="M33" s="324">
        <f t="shared" si="0"/>
        <v>26265486.324096784</v>
      </c>
      <c r="N33" s="295">
        <f t="shared" si="1"/>
        <v>-154503.675903216</v>
      </c>
      <c r="O33" s="296">
        <f t="shared" si="2"/>
        <v>5.8479838903502997E-3</v>
      </c>
      <c r="P33"/>
    </row>
    <row r="34" spans="1:16" x14ac:dyDescent="0.2">
      <c r="A34" s="321">
        <v>39661</v>
      </c>
      <c r="B34" s="323">
        <v>24364410</v>
      </c>
      <c r="C34" s="163">
        <v>5792960.7385999998</v>
      </c>
      <c r="D34" s="328">
        <f>'Weather Analysis'!O15</f>
        <v>0.9</v>
      </c>
      <c r="E34" s="328">
        <f>'Weather Analysis'!O35</f>
        <v>144.80000000000001</v>
      </c>
      <c r="F34" s="323">
        <v>31</v>
      </c>
      <c r="G34" s="324">
        <v>0</v>
      </c>
      <c r="H34" s="329">
        <v>139.23021436183228</v>
      </c>
      <c r="I34" s="324">
        <v>32</v>
      </c>
      <c r="J34" s="326">
        <f t="shared" si="5"/>
        <v>13717.589476028132</v>
      </c>
      <c r="K34" s="330">
        <v>320</v>
      </c>
      <c r="L34" s="322">
        <f>'CDM Activity'!C52</f>
        <v>131101.03677157481</v>
      </c>
      <c r="M34" s="324">
        <f t="shared" si="0"/>
        <v>24973755.871027045</v>
      </c>
      <c r="N34" s="295">
        <f t="shared" si="1"/>
        <v>609345.87102704495</v>
      </c>
      <c r="O34" s="296">
        <f t="shared" si="2"/>
        <v>2.5009670705223107E-2</v>
      </c>
      <c r="P34"/>
    </row>
    <row r="35" spans="1:16" x14ac:dyDescent="0.2">
      <c r="A35" s="321">
        <v>39692</v>
      </c>
      <c r="B35" s="323">
        <v>20565410</v>
      </c>
      <c r="C35" s="163">
        <v>5288547.1129999999</v>
      </c>
      <c r="D35" s="328">
        <f>'Weather Analysis'!O16</f>
        <v>12.2</v>
      </c>
      <c r="E35" s="328">
        <f>'Weather Analysis'!O36</f>
        <v>65</v>
      </c>
      <c r="F35" s="323">
        <v>30</v>
      </c>
      <c r="G35" s="324">
        <v>1</v>
      </c>
      <c r="H35" s="329">
        <v>139.12535846444095</v>
      </c>
      <c r="I35" s="324">
        <v>33</v>
      </c>
      <c r="J35" s="326">
        <f t="shared" si="5"/>
        <v>13728.130528425318</v>
      </c>
      <c r="K35" s="330">
        <v>336</v>
      </c>
      <c r="L35" s="322">
        <f>'CDM Activity'!C53</f>
        <v>130668.85946968327</v>
      </c>
      <c r="M35" s="324">
        <f t="shared" si="0"/>
        <v>19723891.625760611</v>
      </c>
      <c r="N35" s="295">
        <f t="shared" si="1"/>
        <v>-841518.37423938885</v>
      </c>
      <c r="O35" s="296">
        <f t="shared" si="2"/>
        <v>4.0919114874898618E-2</v>
      </c>
      <c r="P35"/>
    </row>
    <row r="36" spans="1:16" x14ac:dyDescent="0.2">
      <c r="A36" s="321">
        <v>39722</v>
      </c>
      <c r="B36" s="323">
        <v>18777310</v>
      </c>
      <c r="C36" s="163">
        <v>4350378.1295999996</v>
      </c>
      <c r="D36" s="328">
        <f>'Weather Analysis'!O17</f>
        <v>220.7</v>
      </c>
      <c r="E36" s="328">
        <f>'Weather Analysis'!O37</f>
        <v>3.3</v>
      </c>
      <c r="F36" s="323">
        <v>31</v>
      </c>
      <c r="G36" s="324">
        <v>1</v>
      </c>
      <c r="H36" s="329">
        <v>139.02058153524823</v>
      </c>
      <c r="I36" s="324">
        <v>34</v>
      </c>
      <c r="J36" s="326">
        <f t="shared" si="5"/>
        <v>13738.671580822504</v>
      </c>
      <c r="K36" s="330">
        <v>352</v>
      </c>
      <c r="L36" s="322">
        <f>'CDM Activity'!C54</f>
        <v>130236.68216779173</v>
      </c>
      <c r="M36" s="324">
        <f t="shared" si="0"/>
        <v>18727109.562675439</v>
      </c>
      <c r="N36" s="295">
        <f t="shared" si="1"/>
        <v>-50200.437324561179</v>
      </c>
      <c r="O36" s="296">
        <f t="shared" si="2"/>
        <v>2.6734626698159203E-3</v>
      </c>
      <c r="P36"/>
    </row>
    <row r="37" spans="1:16" x14ac:dyDescent="0.2">
      <c r="A37" s="321">
        <v>39753</v>
      </c>
      <c r="B37" s="323">
        <v>20094850</v>
      </c>
      <c r="C37" s="163">
        <v>4205455.8103999998</v>
      </c>
      <c r="D37" s="328">
        <f>'Weather Analysis'!O18</f>
        <v>413.4</v>
      </c>
      <c r="E37" s="328">
        <f>'Weather Analysis'!O38</f>
        <v>0</v>
      </c>
      <c r="F37" s="323">
        <v>30</v>
      </c>
      <c r="G37" s="324">
        <v>1</v>
      </c>
      <c r="H37" s="329">
        <v>138.91588351478222</v>
      </c>
      <c r="I37" s="324">
        <v>35</v>
      </c>
      <c r="J37" s="326">
        <f t="shared" si="5"/>
        <v>13749.212633219689</v>
      </c>
      <c r="K37" s="330">
        <v>304</v>
      </c>
      <c r="L37" s="322">
        <f>'CDM Activity'!C55</f>
        <v>129804.50486590019</v>
      </c>
      <c r="M37" s="324">
        <f t="shared" si="0"/>
        <v>19371066.002027024</v>
      </c>
      <c r="N37" s="295">
        <f t="shared" si="1"/>
        <v>-723783.99797297642</v>
      </c>
      <c r="O37" s="296">
        <f t="shared" si="2"/>
        <v>3.6018382718605836E-2</v>
      </c>
      <c r="P37"/>
    </row>
    <row r="38" spans="1:16" x14ac:dyDescent="0.2">
      <c r="A38" s="321">
        <v>39783</v>
      </c>
      <c r="B38" s="323">
        <v>23525530</v>
      </c>
      <c r="C38" s="163">
        <v>4666743.4814999998</v>
      </c>
      <c r="D38" s="328">
        <f>'Weather Analysis'!O19</f>
        <v>632</v>
      </c>
      <c r="E38" s="328">
        <f>'Weather Analysis'!O39</f>
        <v>0</v>
      </c>
      <c r="F38" s="323">
        <v>31</v>
      </c>
      <c r="G38" s="324">
        <v>0</v>
      </c>
      <c r="H38" s="329">
        <v>138.8112643436159</v>
      </c>
      <c r="I38" s="324">
        <v>36</v>
      </c>
      <c r="J38" s="326">
        <f t="shared" si="5"/>
        <v>13759.753685616875</v>
      </c>
      <c r="K38" s="330">
        <v>336</v>
      </c>
      <c r="L38" s="322">
        <f>'CDM Activity'!C56</f>
        <v>129372.32756400865</v>
      </c>
      <c r="M38" s="324">
        <f t="shared" si="0"/>
        <v>22877685.207418937</v>
      </c>
      <c r="N38" s="295">
        <f t="shared" si="1"/>
        <v>-647844.79258106276</v>
      </c>
      <c r="O38" s="296">
        <f t="shared" si="2"/>
        <v>2.753794675746148E-2</v>
      </c>
      <c r="P38"/>
    </row>
    <row r="39" spans="1:16" x14ac:dyDescent="0.2">
      <c r="A39" s="321">
        <v>39814</v>
      </c>
      <c r="B39" s="163">
        <v>24531230</v>
      </c>
      <c r="C39" s="163">
        <v>5986418.2281999998</v>
      </c>
      <c r="D39" s="328">
        <f>'Weather Analysis'!P8</f>
        <v>799.1</v>
      </c>
      <c r="E39" s="328">
        <f>'Weather Analysis'!P28</f>
        <v>0</v>
      </c>
      <c r="F39" s="323">
        <v>31</v>
      </c>
      <c r="G39" s="324">
        <v>0</v>
      </c>
      <c r="H39" s="329">
        <v>138.43555825854429</v>
      </c>
      <c r="I39" s="324">
        <v>37</v>
      </c>
      <c r="J39" s="326">
        <f t="shared" si="5"/>
        <v>13770.294738014061</v>
      </c>
      <c r="K39" s="330">
        <v>336</v>
      </c>
      <c r="L39" s="322">
        <f>'CDM Activity'!C57</f>
        <v>141487.84721001808</v>
      </c>
      <c r="M39" s="324">
        <f t="shared" si="0"/>
        <v>25007304.482914224</v>
      </c>
      <c r="N39" s="295">
        <f t="shared" si="1"/>
        <v>476074.48291422427</v>
      </c>
      <c r="O39" s="296">
        <f t="shared" si="2"/>
        <v>1.9406873724400458E-2</v>
      </c>
      <c r="P39"/>
    </row>
    <row r="40" spans="1:16" x14ac:dyDescent="0.2">
      <c r="A40" s="321">
        <v>39845</v>
      </c>
      <c r="B40" s="163">
        <v>20746930</v>
      </c>
      <c r="C40" s="163">
        <v>6228643.7355999993</v>
      </c>
      <c r="D40" s="328">
        <f>'Weather Analysis'!P9</f>
        <v>552.9</v>
      </c>
      <c r="E40" s="328">
        <f>'Weather Analysis'!P29</f>
        <v>0</v>
      </c>
      <c r="F40" s="323">
        <v>28</v>
      </c>
      <c r="G40" s="324">
        <v>0</v>
      </c>
      <c r="H40" s="329">
        <v>138.06086905825526</v>
      </c>
      <c r="I40" s="324">
        <v>38</v>
      </c>
      <c r="J40" s="326">
        <f t="shared" si="5"/>
        <v>13780.835790411247</v>
      </c>
      <c r="K40" s="330">
        <v>304</v>
      </c>
      <c r="L40" s="322">
        <f>'CDM Activity'!C58</f>
        <v>153603.36685602751</v>
      </c>
      <c r="M40" s="324">
        <f t="shared" si="0"/>
        <v>21230348.007443901</v>
      </c>
      <c r="N40" s="295">
        <f t="shared" si="1"/>
        <v>483418.00744390115</v>
      </c>
      <c r="O40" s="296">
        <f t="shared" si="2"/>
        <v>2.3300700751576312E-2</v>
      </c>
      <c r="P40"/>
    </row>
    <row r="41" spans="1:16" x14ac:dyDescent="0.2">
      <c r="A41" s="321">
        <v>39873</v>
      </c>
      <c r="B41" s="163">
        <v>20762810</v>
      </c>
      <c r="C41" s="163">
        <v>5113039.1959999995</v>
      </c>
      <c r="D41" s="328">
        <f>'Weather Analysis'!P10</f>
        <v>463.8</v>
      </c>
      <c r="E41" s="328">
        <f>'Weather Analysis'!P30</f>
        <v>0</v>
      </c>
      <c r="F41" s="323">
        <v>31</v>
      </c>
      <c r="G41" s="324">
        <v>1</v>
      </c>
      <c r="H41" s="329">
        <v>137.68719399045199</v>
      </c>
      <c r="I41" s="324">
        <v>39</v>
      </c>
      <c r="J41" s="326">
        <f t="shared" si="5"/>
        <v>13791.376842808433</v>
      </c>
      <c r="K41" s="330">
        <v>352</v>
      </c>
      <c r="L41" s="322">
        <f>'CDM Activity'!C59</f>
        <v>165718.88650203694</v>
      </c>
      <c r="M41" s="324">
        <f t="shared" si="0"/>
        <v>20977172.870430462</v>
      </c>
      <c r="N41" s="295">
        <f t="shared" si="1"/>
        <v>214362.87043046206</v>
      </c>
      <c r="O41" s="296">
        <f t="shared" si="2"/>
        <v>1.0324367001887609E-2</v>
      </c>
      <c r="P41"/>
    </row>
    <row r="42" spans="1:16" x14ac:dyDescent="0.2">
      <c r="A42" s="321">
        <v>39904</v>
      </c>
      <c r="B42" s="163">
        <v>18304870</v>
      </c>
      <c r="C42" s="163">
        <v>5070795.6617999999</v>
      </c>
      <c r="D42" s="328">
        <f>'Weather Analysis'!P11</f>
        <v>263.39999999999998</v>
      </c>
      <c r="E42" s="328">
        <f>'Weather Analysis'!P31</f>
        <v>11.1</v>
      </c>
      <c r="F42" s="323">
        <v>30</v>
      </c>
      <c r="G42" s="324">
        <v>1</v>
      </c>
      <c r="H42" s="329">
        <v>137.31453031028698</v>
      </c>
      <c r="I42" s="324">
        <v>40</v>
      </c>
      <c r="J42" s="326">
        <f t="shared" si="5"/>
        <v>13801.917895205619</v>
      </c>
      <c r="K42" s="330">
        <v>320</v>
      </c>
      <c r="L42" s="322">
        <f>'CDM Activity'!C60</f>
        <v>177834.40614804637</v>
      </c>
      <c r="M42" s="324">
        <f t="shared" si="0"/>
        <v>19195332.90060024</v>
      </c>
      <c r="N42" s="295">
        <f t="shared" si="1"/>
        <v>890462.90060023963</v>
      </c>
      <c r="O42" s="296">
        <f t="shared" si="2"/>
        <v>4.8646229151053225E-2</v>
      </c>
      <c r="P42"/>
    </row>
    <row r="43" spans="1:16" x14ac:dyDescent="0.2">
      <c r="A43" s="321">
        <v>39934</v>
      </c>
      <c r="B43" s="163">
        <v>17564207.692307696</v>
      </c>
      <c r="C43" s="163">
        <v>4234884.3057999993</v>
      </c>
      <c r="D43" s="328">
        <f>'Weather Analysis'!P12</f>
        <v>75.8</v>
      </c>
      <c r="E43" s="328">
        <f>'Weather Analysis'!P32</f>
        <v>14.8</v>
      </c>
      <c r="F43" s="323">
        <v>31</v>
      </c>
      <c r="G43" s="324">
        <v>1</v>
      </c>
      <c r="H43" s="329">
        <v>136.94287528034204</v>
      </c>
      <c r="I43" s="324">
        <v>41</v>
      </c>
      <c r="J43" s="326">
        <f t="shared" si="5"/>
        <v>13812.458947602805</v>
      </c>
      <c r="K43" s="330">
        <v>320</v>
      </c>
      <c r="L43" s="322">
        <f>'CDM Activity'!C61</f>
        <v>189949.9257940558</v>
      </c>
      <c r="M43" s="324">
        <f t="shared" si="0"/>
        <v>18015174.893623501</v>
      </c>
      <c r="N43" s="295">
        <f t="shared" si="1"/>
        <v>450967.20131580532</v>
      </c>
      <c r="O43" s="296">
        <f t="shared" si="2"/>
        <v>2.5675351215148062E-2</v>
      </c>
      <c r="P43"/>
    </row>
    <row r="44" spans="1:16" x14ac:dyDescent="0.2">
      <c r="A44" s="321">
        <v>39965</v>
      </c>
      <c r="B44" s="163">
        <v>20151815.384615388</v>
      </c>
      <c r="C44" s="163">
        <v>3882033.5824000002</v>
      </c>
      <c r="D44" s="328">
        <f>'Weather Analysis'!P13</f>
        <v>25.3</v>
      </c>
      <c r="E44" s="328">
        <f>'Weather Analysis'!P33</f>
        <v>70.099999999999994</v>
      </c>
      <c r="F44" s="323">
        <v>30</v>
      </c>
      <c r="G44" s="324">
        <v>0</v>
      </c>
      <c r="H44" s="329">
        <v>136.57222617060793</v>
      </c>
      <c r="I44" s="324">
        <v>42</v>
      </c>
      <c r="J44" s="327">
        <f>'Rate Class Customer Model'!I7</f>
        <v>13823</v>
      </c>
      <c r="K44" s="330">
        <v>352</v>
      </c>
      <c r="L44" s="322">
        <f>'CDM Activity'!C62</f>
        <v>202065.44544006523</v>
      </c>
      <c r="M44" s="324">
        <f t="shared" si="0"/>
        <v>20034821.880926512</v>
      </c>
      <c r="N44" s="295">
        <f t="shared" si="1"/>
        <v>-116993.50368887559</v>
      </c>
      <c r="O44" s="296">
        <f t="shared" si="2"/>
        <v>5.8056061677794341E-3</v>
      </c>
      <c r="P44"/>
    </row>
    <row r="45" spans="1:16" x14ac:dyDescent="0.2">
      <c r="A45" s="321">
        <v>39995</v>
      </c>
      <c r="B45" s="163">
        <v>21718676.923076924</v>
      </c>
      <c r="C45" s="163">
        <v>4380699.4228999997</v>
      </c>
      <c r="D45" s="328">
        <f>'Weather Analysis'!P14</f>
        <v>1.4</v>
      </c>
      <c r="E45" s="328">
        <f>'Weather Analysis'!P34</f>
        <v>88</v>
      </c>
      <c r="F45" s="323">
        <v>31</v>
      </c>
      <c r="G45" s="324">
        <v>0</v>
      </c>
      <c r="H45" s="329">
        <v>136.20258025846454</v>
      </c>
      <c r="I45" s="324">
        <v>43</v>
      </c>
      <c r="J45" s="326">
        <f t="shared" ref="J45:J55" si="6">($J$56-$J$44)/12+J44</f>
        <v>13836.125</v>
      </c>
      <c r="K45" s="330">
        <v>352</v>
      </c>
      <c r="L45" s="322">
        <f>'CDM Activity'!C63</f>
        <v>214180.96508607466</v>
      </c>
      <c r="M45" s="324">
        <f t="shared" si="0"/>
        <v>21597339.92022182</v>
      </c>
      <c r="N45" s="295">
        <f t="shared" si="1"/>
        <v>-121337.00285510346</v>
      </c>
      <c r="O45" s="296">
        <f t="shared" si="2"/>
        <v>5.5867584975297577E-3</v>
      </c>
      <c r="P45"/>
    </row>
    <row r="46" spans="1:16" x14ac:dyDescent="0.2">
      <c r="A46" s="321">
        <v>40026</v>
      </c>
      <c r="B46" s="163">
        <v>24301261.53846154</v>
      </c>
      <c r="C46" s="163">
        <v>3780901.4922000002</v>
      </c>
      <c r="D46" s="328">
        <f>'Weather Analysis'!P15</f>
        <v>6.7</v>
      </c>
      <c r="E46" s="328">
        <f>'Weather Analysis'!P35</f>
        <v>124.3</v>
      </c>
      <c r="F46" s="323">
        <v>31</v>
      </c>
      <c r="G46" s="324">
        <v>0</v>
      </c>
      <c r="H46" s="329">
        <v>135.83393482866074</v>
      </c>
      <c r="I46" s="324">
        <v>44</v>
      </c>
      <c r="J46" s="326">
        <f t="shared" si="6"/>
        <v>13849.25</v>
      </c>
      <c r="K46" s="330">
        <v>320</v>
      </c>
      <c r="L46" s="322">
        <f>'CDM Activity'!C64</f>
        <v>226296.48473208409</v>
      </c>
      <c r="M46" s="324">
        <f t="shared" si="0"/>
        <v>22889177.30154644</v>
      </c>
      <c r="N46" s="295">
        <f t="shared" si="1"/>
        <v>-1412084.2369151004</v>
      </c>
      <c r="O46" s="296">
        <f t="shared" si="2"/>
        <v>5.810744576696969E-2</v>
      </c>
      <c r="P46"/>
    </row>
    <row r="47" spans="1:16" x14ac:dyDescent="0.2">
      <c r="A47" s="321">
        <v>40057</v>
      </c>
      <c r="B47" s="163">
        <v>19833253.846153848</v>
      </c>
      <c r="C47" s="163">
        <v>5253467.5819999995</v>
      </c>
      <c r="D47" s="328">
        <f>'Weather Analysis'!P16</f>
        <v>28</v>
      </c>
      <c r="E47" s="328">
        <f>'Weather Analysis'!P36</f>
        <v>47.5</v>
      </c>
      <c r="F47" s="323">
        <v>30</v>
      </c>
      <c r="G47" s="324">
        <v>1</v>
      </c>
      <c r="H47" s="329">
        <v>135.46628717329455</v>
      </c>
      <c r="I47" s="324">
        <v>45</v>
      </c>
      <c r="J47" s="326">
        <f t="shared" si="6"/>
        <v>13862.375</v>
      </c>
      <c r="K47" s="330">
        <v>336</v>
      </c>
      <c r="L47" s="322">
        <f>'CDM Activity'!C65</f>
        <v>238412.00437809352</v>
      </c>
      <c r="M47" s="324">
        <f t="shared" si="0"/>
        <v>19050615.176075138</v>
      </c>
      <c r="N47" s="295">
        <f t="shared" si="1"/>
        <v>-782638.67007870972</v>
      </c>
      <c r="O47" s="296">
        <f t="shared" si="2"/>
        <v>3.9460931431101631E-2</v>
      </c>
      <c r="P47"/>
    </row>
    <row r="48" spans="1:16" x14ac:dyDescent="0.2">
      <c r="A48" s="321">
        <v>40087</v>
      </c>
      <c r="B48" s="163">
        <v>19025038.46153846</v>
      </c>
      <c r="C48" s="163">
        <v>3762845.0086999997</v>
      </c>
      <c r="D48" s="328">
        <f>'Weather Analysis'!P17</f>
        <v>247.6</v>
      </c>
      <c r="E48" s="328">
        <f>'Weather Analysis'!P37</f>
        <v>0</v>
      </c>
      <c r="F48" s="323">
        <v>31</v>
      </c>
      <c r="G48" s="324">
        <v>1</v>
      </c>
      <c r="H48" s="329">
        <v>135.09963459179312</v>
      </c>
      <c r="I48" s="324">
        <v>46</v>
      </c>
      <c r="J48" s="326">
        <f t="shared" si="6"/>
        <v>13875.5</v>
      </c>
      <c r="K48" s="330">
        <v>336</v>
      </c>
      <c r="L48" s="322">
        <f>'CDM Activity'!C66</f>
        <v>250527.52402410295</v>
      </c>
      <c r="M48" s="324">
        <f t="shared" si="0"/>
        <v>18438351.196866009</v>
      </c>
      <c r="N48" s="295">
        <f t="shared" si="1"/>
        <v>-586687.26467245072</v>
      </c>
      <c r="O48" s="296">
        <f t="shared" si="2"/>
        <v>3.0837638823096931E-2</v>
      </c>
      <c r="P48"/>
    </row>
    <row r="49" spans="1:16" x14ac:dyDescent="0.2">
      <c r="A49" s="321">
        <v>40118</v>
      </c>
      <c r="B49" s="163">
        <v>19026900</v>
      </c>
      <c r="C49" s="163">
        <v>3776087.9072999996</v>
      </c>
      <c r="D49" s="328">
        <f>'Weather Analysis'!P18</f>
        <v>320.5</v>
      </c>
      <c r="E49" s="328">
        <f>'Weather Analysis'!P38</f>
        <v>0</v>
      </c>
      <c r="F49" s="323">
        <v>30</v>
      </c>
      <c r="G49" s="324">
        <v>1</v>
      </c>
      <c r="H49" s="329">
        <v>134.733974390893</v>
      </c>
      <c r="I49" s="324">
        <v>47</v>
      </c>
      <c r="J49" s="326">
        <f t="shared" si="6"/>
        <v>13888.625</v>
      </c>
      <c r="K49" s="330">
        <v>320</v>
      </c>
      <c r="L49" s="322">
        <f>'CDM Activity'!C67</f>
        <v>262643.04367011238</v>
      </c>
      <c r="M49" s="324">
        <f t="shared" si="0"/>
        <v>18371561.541022345</v>
      </c>
      <c r="N49" s="295">
        <f t="shared" si="1"/>
        <v>-655338.45897765458</v>
      </c>
      <c r="O49" s="296">
        <f t="shared" si="2"/>
        <v>3.4442734180431631E-2</v>
      </c>
      <c r="P49"/>
    </row>
    <row r="50" spans="1:16" x14ac:dyDescent="0.2">
      <c r="A50" s="321">
        <v>40148</v>
      </c>
      <c r="B50" s="163">
        <v>22891584.615384616</v>
      </c>
      <c r="C50" s="163">
        <v>3766879.0844999999</v>
      </c>
      <c r="D50" s="328">
        <f>'Weather Analysis'!P19</f>
        <v>603.4</v>
      </c>
      <c r="E50" s="328">
        <f>'Weather Analysis'!P39</f>
        <v>0</v>
      </c>
      <c r="F50" s="323">
        <v>31</v>
      </c>
      <c r="G50" s="324">
        <v>0</v>
      </c>
      <c r="H50" s="329">
        <v>134.36930388462019</v>
      </c>
      <c r="I50" s="324">
        <v>48</v>
      </c>
      <c r="J50" s="326">
        <f t="shared" si="6"/>
        <v>13901.75</v>
      </c>
      <c r="K50" s="330">
        <v>352</v>
      </c>
      <c r="L50" s="322">
        <f>'CDM Activity'!C68</f>
        <v>274758.56331612181</v>
      </c>
      <c r="M50" s="324">
        <f t="shared" si="0"/>
        <v>22104628.51010621</v>
      </c>
      <c r="N50" s="295">
        <f t="shared" si="1"/>
        <v>-786956.10527840629</v>
      </c>
      <c r="O50" s="296">
        <f t="shared" si="2"/>
        <v>3.4377528620256427E-2</v>
      </c>
      <c r="P50"/>
    </row>
    <row r="51" spans="1:16" x14ac:dyDescent="0.2">
      <c r="A51" s="321">
        <v>40179</v>
      </c>
      <c r="B51" s="163">
        <v>23520946.153846156</v>
      </c>
      <c r="C51" s="163">
        <v>4803309.3464000002</v>
      </c>
      <c r="D51" s="328">
        <f>'Weather Analysis'!Q8</f>
        <v>679.7</v>
      </c>
      <c r="E51" s="328">
        <f>'Weather Analysis'!Q28</f>
        <v>0</v>
      </c>
      <c r="F51" s="323">
        <v>31</v>
      </c>
      <c r="G51" s="324">
        <v>0</v>
      </c>
      <c r="H51" s="329">
        <v>134.73334561620703</v>
      </c>
      <c r="I51" s="324">
        <v>49</v>
      </c>
      <c r="J51" s="326">
        <f t="shared" si="6"/>
        <v>13914.875</v>
      </c>
      <c r="K51" s="330">
        <v>320</v>
      </c>
      <c r="L51" s="322">
        <f>'CDM Activity'!C69</f>
        <v>268563.05416063953</v>
      </c>
      <c r="M51" s="324">
        <f t="shared" si="0"/>
        <v>23340030.508238971</v>
      </c>
      <c r="N51" s="295">
        <f t="shared" si="1"/>
        <v>-180915.64560718462</v>
      </c>
      <c r="O51" s="296">
        <f t="shared" si="2"/>
        <v>7.6916823168527689E-3</v>
      </c>
      <c r="P51"/>
    </row>
    <row r="52" spans="1:16" x14ac:dyDescent="0.2">
      <c r="A52" s="321">
        <v>40210</v>
      </c>
      <c r="B52" s="163">
        <v>20573876.923076924</v>
      </c>
      <c r="C52" s="163">
        <v>5113487.8109999998</v>
      </c>
      <c r="D52" s="328">
        <f>'Weather Analysis'!Q9</f>
        <v>570.9</v>
      </c>
      <c r="E52" s="328">
        <f>'Weather Analysis'!Q29</f>
        <v>0</v>
      </c>
      <c r="F52" s="323">
        <v>28</v>
      </c>
      <c r="G52" s="324">
        <v>0</v>
      </c>
      <c r="H52" s="329">
        <v>135.09837363244745</v>
      </c>
      <c r="I52" s="324">
        <v>50</v>
      </c>
      <c r="J52" s="326">
        <f t="shared" si="6"/>
        <v>13928</v>
      </c>
      <c r="K52" s="330">
        <v>304</v>
      </c>
      <c r="L52" s="322">
        <f>'CDM Activity'!C70</f>
        <v>262367.54500515724</v>
      </c>
      <c r="M52" s="324">
        <f t="shared" si="0"/>
        <v>20697595.142674275</v>
      </c>
      <c r="N52" s="295">
        <f t="shared" si="1"/>
        <v>123718.21959735081</v>
      </c>
      <c r="O52" s="296">
        <f t="shared" si="2"/>
        <v>6.0133644261563968E-3</v>
      </c>
      <c r="P52"/>
    </row>
    <row r="53" spans="1:16" x14ac:dyDescent="0.2">
      <c r="A53" s="321">
        <v>40238</v>
      </c>
      <c r="B53" s="163">
        <v>20520861.53846154</v>
      </c>
      <c r="C53" s="163">
        <v>4395653.0039999997</v>
      </c>
      <c r="D53" s="328">
        <f>'Weather Analysis'!Q10</f>
        <v>397.1</v>
      </c>
      <c r="E53" s="328">
        <f>'Weather Analysis'!Q30</f>
        <v>0</v>
      </c>
      <c r="F53" s="323">
        <v>31</v>
      </c>
      <c r="G53" s="324">
        <v>1</v>
      </c>
      <c r="H53" s="329">
        <v>135.46439060544563</v>
      </c>
      <c r="I53" s="324">
        <v>51</v>
      </c>
      <c r="J53" s="326">
        <f t="shared" si="6"/>
        <v>13941.125</v>
      </c>
      <c r="K53" s="330">
        <v>368</v>
      </c>
      <c r="L53" s="322">
        <f>'CDM Activity'!C71</f>
        <v>256172.03584967495</v>
      </c>
      <c r="M53" s="324">
        <f t="shared" si="0"/>
        <v>20011558.432969604</v>
      </c>
      <c r="N53" s="295">
        <f t="shared" si="1"/>
        <v>-509303.10549193621</v>
      </c>
      <c r="O53" s="296">
        <f t="shared" si="2"/>
        <v>2.4818797424141625E-2</v>
      </c>
      <c r="P53"/>
    </row>
    <row r="54" spans="1:16" x14ac:dyDescent="0.2">
      <c r="A54" s="321">
        <v>40269</v>
      </c>
      <c r="B54" s="163">
        <v>17431446.153846156</v>
      </c>
      <c r="C54" s="163">
        <v>3594249.8704999997</v>
      </c>
      <c r="D54" s="328">
        <f>'Weather Analysis'!Q11</f>
        <v>183.4</v>
      </c>
      <c r="E54" s="328">
        <f>'Weather Analysis'!Q31</f>
        <v>1.4</v>
      </c>
      <c r="F54" s="323">
        <v>30</v>
      </c>
      <c r="G54" s="324">
        <v>1</v>
      </c>
      <c r="H54" s="329">
        <v>135.83139921454512</v>
      </c>
      <c r="I54" s="324">
        <v>52</v>
      </c>
      <c r="J54" s="326">
        <f t="shared" si="6"/>
        <v>13954.25</v>
      </c>
      <c r="K54" s="330">
        <v>320</v>
      </c>
      <c r="L54" s="322">
        <f>'CDM Activity'!C72</f>
        <v>249976.52669419267</v>
      </c>
      <c r="M54" s="324">
        <f t="shared" si="0"/>
        <v>17232611.85396767</v>
      </c>
      <c r="N54" s="295">
        <f t="shared" si="1"/>
        <v>-198834.2998784855</v>
      </c>
      <c r="O54" s="296">
        <f t="shared" si="2"/>
        <v>1.1406643953899015E-2</v>
      </c>
      <c r="P54"/>
    </row>
    <row r="55" spans="1:16" x14ac:dyDescent="0.2">
      <c r="A55" s="321">
        <v>40299</v>
      </c>
      <c r="B55" s="163">
        <v>19189807.692307692</v>
      </c>
      <c r="C55" s="163">
        <v>3357369.0432999996</v>
      </c>
      <c r="D55" s="328">
        <f>'Weather Analysis'!Q12</f>
        <v>91.9</v>
      </c>
      <c r="E55" s="328">
        <f>'Weather Analysis'!Q32</f>
        <v>49.9</v>
      </c>
      <c r="F55" s="323">
        <v>31</v>
      </c>
      <c r="G55" s="324">
        <v>1</v>
      </c>
      <c r="H55" s="329">
        <v>136.19940214634852</v>
      </c>
      <c r="I55" s="324">
        <v>53</v>
      </c>
      <c r="J55" s="326">
        <f t="shared" si="6"/>
        <v>13967.375</v>
      </c>
      <c r="K55" s="330">
        <v>320</v>
      </c>
      <c r="L55" s="322">
        <f>'CDM Activity'!C73</f>
        <v>243781.01753871038</v>
      </c>
      <c r="M55" s="324">
        <f t="shared" si="0"/>
        <v>19171273.965745486</v>
      </c>
      <c r="N55" s="295">
        <f t="shared" si="1"/>
        <v>-18533.726562205702</v>
      </c>
      <c r="O55" s="296">
        <f t="shared" si="2"/>
        <v>9.658109585764644E-4</v>
      </c>
      <c r="P55"/>
    </row>
    <row r="56" spans="1:16" x14ac:dyDescent="0.2">
      <c r="A56" s="321">
        <v>40330</v>
      </c>
      <c r="B56" s="163">
        <v>23092030.769230768</v>
      </c>
      <c r="C56" s="163">
        <v>3596503.5392999998</v>
      </c>
      <c r="D56" s="328">
        <f>'Weather Analysis'!Q13</f>
        <v>5.7</v>
      </c>
      <c r="E56" s="328">
        <f>'Weather Analysis'!Q33</f>
        <v>124.2</v>
      </c>
      <c r="F56" s="323">
        <v>30</v>
      </c>
      <c r="G56" s="324">
        <v>0</v>
      </c>
      <c r="H56" s="329">
        <v>136.56840209473719</v>
      </c>
      <c r="I56" s="324">
        <v>54</v>
      </c>
      <c r="J56" s="327">
        <f>'Rate Class Customer Model'!I8</f>
        <v>13980.5</v>
      </c>
      <c r="K56" s="330">
        <v>352</v>
      </c>
      <c r="L56" s="322">
        <f>'CDM Activity'!C74</f>
        <v>237585.50838322809</v>
      </c>
      <c r="M56" s="324">
        <f t="shared" si="0"/>
        <v>22110095.192640506</v>
      </c>
      <c r="N56" s="295">
        <f t="shared" si="1"/>
        <v>-981935.57659026235</v>
      </c>
      <c r="O56" s="296">
        <f t="shared" si="2"/>
        <v>4.2522703455715696E-2</v>
      </c>
      <c r="P56"/>
    </row>
    <row r="57" spans="1:16" x14ac:dyDescent="0.2">
      <c r="A57" s="321">
        <v>40360</v>
      </c>
      <c r="B57" s="163">
        <v>28187746.153846156</v>
      </c>
      <c r="C57" s="163">
        <v>4308053.8447000002</v>
      </c>
      <c r="D57" s="328">
        <f>'Weather Analysis'!Q14</f>
        <v>0.1</v>
      </c>
      <c r="E57" s="328">
        <f>'Weather Analysis'!Q34</f>
        <v>216.2</v>
      </c>
      <c r="F57" s="323">
        <v>31</v>
      </c>
      <c r="G57" s="324">
        <v>0</v>
      </c>
      <c r="H57" s="329">
        <v>136.93840176089088</v>
      </c>
      <c r="I57" s="324">
        <v>55</v>
      </c>
      <c r="J57" s="326">
        <f t="shared" ref="J57:J67" si="7">($J$68-$J$56)/12+J56</f>
        <v>13986.583333333334</v>
      </c>
      <c r="K57" s="330">
        <v>336</v>
      </c>
      <c r="L57" s="322">
        <f>'CDM Activity'!C75</f>
        <v>231389.99922774581</v>
      </c>
      <c r="M57" s="324">
        <f t="shared" si="0"/>
        <v>27240437.69778008</v>
      </c>
      <c r="N57" s="295">
        <f t="shared" si="1"/>
        <v>-947308.45606607571</v>
      </c>
      <c r="O57" s="296">
        <f t="shared" si="2"/>
        <v>3.3607101855386103E-2</v>
      </c>
      <c r="P57"/>
    </row>
    <row r="58" spans="1:16" x14ac:dyDescent="0.2">
      <c r="A58" s="321">
        <v>40391</v>
      </c>
      <c r="B58" s="163">
        <v>26984638.46153846</v>
      </c>
      <c r="C58" s="163">
        <v>5600560.3589000003</v>
      </c>
      <c r="D58" s="328">
        <f>'Weather Analysis'!Q15</f>
        <v>0</v>
      </c>
      <c r="E58" s="328">
        <f>'Weather Analysis'!Q35</f>
        <v>189.3</v>
      </c>
      <c r="F58" s="323">
        <v>31</v>
      </c>
      <c r="G58" s="324">
        <v>0</v>
      </c>
      <c r="H58" s="329">
        <v>137.30940385330757</v>
      </c>
      <c r="I58" s="324">
        <v>56</v>
      </c>
      <c r="J58" s="326">
        <f t="shared" si="7"/>
        <v>13992.666666666668</v>
      </c>
      <c r="K58" s="330">
        <v>336</v>
      </c>
      <c r="L58" s="322">
        <f>'CDM Activity'!C76</f>
        <v>225194.49007226352</v>
      </c>
      <c r="M58" s="324">
        <f t="shared" si="0"/>
        <v>26827639.179652762</v>
      </c>
      <c r="N58" s="295">
        <f t="shared" si="1"/>
        <v>-156999.28188569844</v>
      </c>
      <c r="O58" s="296">
        <f t="shared" si="2"/>
        <v>5.8180984010392234E-3</v>
      </c>
      <c r="P58"/>
    </row>
    <row r="59" spans="1:16" x14ac:dyDescent="0.2">
      <c r="A59" s="321">
        <v>40422</v>
      </c>
      <c r="B59" s="163">
        <v>19634115.384615384</v>
      </c>
      <c r="C59" s="163">
        <v>5345059.1985999998</v>
      </c>
      <c r="D59" s="328">
        <f>'Weather Analysis'!Q16</f>
        <v>42.9</v>
      </c>
      <c r="E59" s="328">
        <f>'Weather Analysis'!Q36</f>
        <v>50</v>
      </c>
      <c r="F59" s="323">
        <v>30</v>
      </c>
      <c r="G59" s="324">
        <v>1</v>
      </c>
      <c r="H59" s="329">
        <v>137.68141108782325</v>
      </c>
      <c r="I59" s="324">
        <v>57</v>
      </c>
      <c r="J59" s="326">
        <f t="shared" si="7"/>
        <v>13998.750000000002</v>
      </c>
      <c r="K59" s="330">
        <v>336</v>
      </c>
      <c r="L59" s="322">
        <f>'CDM Activity'!C77</f>
        <v>218998.98091678123</v>
      </c>
      <c r="M59" s="324">
        <f t="shared" si="0"/>
        <v>19335804.724816475</v>
      </c>
      <c r="N59" s="295">
        <f t="shared" si="1"/>
        <v>-298310.65979890898</v>
      </c>
      <c r="O59" s="296">
        <f t="shared" si="2"/>
        <v>1.5193486131422806E-2</v>
      </c>
      <c r="P59"/>
    </row>
    <row r="60" spans="1:16" x14ac:dyDescent="0.2">
      <c r="A60" s="321">
        <v>40452</v>
      </c>
      <c r="B60" s="163">
        <v>18062553.846153848</v>
      </c>
      <c r="C60" s="163">
        <v>4097940.9556999994</v>
      </c>
      <c r="D60" s="328">
        <f>'Weather Analysis'!Q17</f>
        <v>165.7</v>
      </c>
      <c r="E60" s="328">
        <f>'Weather Analysis'!Q37</f>
        <v>1.3</v>
      </c>
      <c r="F60" s="323">
        <v>31</v>
      </c>
      <c r="G60" s="324">
        <v>1</v>
      </c>
      <c r="H60" s="329">
        <v>138.0544261876318</v>
      </c>
      <c r="I60" s="324">
        <v>58</v>
      </c>
      <c r="J60" s="326">
        <f t="shared" si="7"/>
        <v>14004.833333333336</v>
      </c>
      <c r="K60" s="330">
        <v>320</v>
      </c>
      <c r="L60" s="322">
        <f>'CDM Activity'!C78</f>
        <v>212803.47176129895</v>
      </c>
      <c r="M60" s="324">
        <f t="shared" si="0"/>
        <v>18047553.218596678</v>
      </c>
      <c r="N60" s="295">
        <f t="shared" si="1"/>
        <v>-15000.627557169646</v>
      </c>
      <c r="O60" s="296">
        <f t="shared" si="2"/>
        <v>8.3048209488736317E-4</v>
      </c>
      <c r="P60"/>
    </row>
    <row r="61" spans="1:16" x14ac:dyDescent="0.2">
      <c r="A61" s="321">
        <v>40483</v>
      </c>
      <c r="B61" s="163">
        <v>20064653.846153848</v>
      </c>
      <c r="C61" s="163">
        <v>3907777.7055000002</v>
      </c>
      <c r="D61" s="328">
        <f>'Weather Analysis'!Q18</f>
        <v>377.7</v>
      </c>
      <c r="E61" s="328">
        <f>'Weather Analysis'!Q38</f>
        <v>0</v>
      </c>
      <c r="F61" s="323">
        <v>30</v>
      </c>
      <c r="G61" s="324">
        <v>1</v>
      </c>
      <c r="H61" s="329">
        <v>138.42845188330503</v>
      </c>
      <c r="I61" s="324">
        <v>59</v>
      </c>
      <c r="J61" s="326">
        <f t="shared" si="7"/>
        <v>14010.91666666667</v>
      </c>
      <c r="K61" s="330">
        <v>336</v>
      </c>
      <c r="L61" s="322">
        <f>'CDM Activity'!C79</f>
        <v>206607.96260581666</v>
      </c>
      <c r="M61" s="324">
        <f t="shared" si="0"/>
        <v>18906545.17866974</v>
      </c>
      <c r="N61" s="295">
        <f t="shared" si="1"/>
        <v>-1158108.6674841084</v>
      </c>
      <c r="O61" s="296">
        <f t="shared" si="2"/>
        <v>5.7718846104394858E-2</v>
      </c>
      <c r="P61"/>
    </row>
    <row r="62" spans="1:16" x14ac:dyDescent="0.2">
      <c r="A62" s="321">
        <v>40513</v>
      </c>
      <c r="B62" s="163">
        <v>24022230.769230772</v>
      </c>
      <c r="C62" s="163">
        <v>3870056.1023999997</v>
      </c>
      <c r="D62" s="328">
        <f>'Weather Analysis'!Q19</f>
        <v>664.3</v>
      </c>
      <c r="E62" s="328">
        <f>'Weather Analysis'!Q39</f>
        <v>0</v>
      </c>
      <c r="F62" s="323">
        <v>31</v>
      </c>
      <c r="G62" s="324">
        <v>0</v>
      </c>
      <c r="H62" s="329">
        <v>138.80349091281266</v>
      </c>
      <c r="I62" s="324">
        <v>60</v>
      </c>
      <c r="J62" s="326">
        <f t="shared" si="7"/>
        <v>14017.000000000004</v>
      </c>
      <c r="K62" s="330">
        <v>368</v>
      </c>
      <c r="L62" s="322">
        <f>'CDM Activity'!C80</f>
        <v>200412.45345033437</v>
      </c>
      <c r="M62" s="324">
        <f t="shared" si="0"/>
        <v>22651770.221332226</v>
      </c>
      <c r="N62" s="295">
        <f t="shared" si="1"/>
        <v>-1370460.5478985459</v>
      </c>
      <c r="O62" s="296">
        <f t="shared" si="2"/>
        <v>5.7049678735661823E-2</v>
      </c>
      <c r="P62"/>
    </row>
    <row r="63" spans="1:16" x14ac:dyDescent="0.2">
      <c r="A63" s="321">
        <v>40544</v>
      </c>
      <c r="B63" s="331">
        <v>23397084.615384616</v>
      </c>
      <c r="C63" s="163">
        <v>5500808.8137999997</v>
      </c>
      <c r="D63" s="328">
        <f>'Weather Analysis'!R8</f>
        <v>730.9</v>
      </c>
      <c r="E63" s="328">
        <f>'Weather Analysis'!R28</f>
        <v>0</v>
      </c>
      <c r="F63" s="332">
        <v>31</v>
      </c>
      <c r="G63" s="324">
        <v>0</v>
      </c>
      <c r="H63" s="329">
        <v>139.10070640604135</v>
      </c>
      <c r="I63" s="324">
        <v>61</v>
      </c>
      <c r="J63" s="326">
        <f t="shared" si="7"/>
        <v>14023.083333333338</v>
      </c>
      <c r="K63" s="330">
        <v>336</v>
      </c>
      <c r="L63" s="322">
        <f>'CDM Activity'!C81</f>
        <v>210571.19426364722</v>
      </c>
      <c r="M63" s="324">
        <f t="shared" si="0"/>
        <v>24170252.286439151</v>
      </c>
      <c r="N63" s="295">
        <f t="shared" si="1"/>
        <v>773167.67105453461</v>
      </c>
      <c r="O63" s="296">
        <f t="shared" si="2"/>
        <v>3.304547056884783E-2</v>
      </c>
      <c r="P63"/>
    </row>
    <row r="64" spans="1:16" x14ac:dyDescent="0.2">
      <c r="A64" s="321">
        <v>40575</v>
      </c>
      <c r="B64" s="331">
        <v>20570361.53846154</v>
      </c>
      <c r="C64" s="163">
        <v>5684569.301</v>
      </c>
      <c r="D64" s="328">
        <f>'Weather Analysis'!R9</f>
        <v>614.6</v>
      </c>
      <c r="E64" s="328">
        <f>'Weather Analysis'!R29</f>
        <v>0</v>
      </c>
      <c r="F64" s="332">
        <v>28</v>
      </c>
      <c r="G64" s="324">
        <v>0</v>
      </c>
      <c r="H64" s="329">
        <v>139.39855831733732</v>
      </c>
      <c r="I64" s="324">
        <v>62</v>
      </c>
      <c r="J64" s="326">
        <f t="shared" si="7"/>
        <v>14029.166666666672</v>
      </c>
      <c r="K64" s="330">
        <v>304</v>
      </c>
      <c r="L64" s="322">
        <f>'CDM Activity'!C82</f>
        <v>220729.93507696007</v>
      </c>
      <c r="M64" s="324">
        <f t="shared" si="0"/>
        <v>21391505.47574681</v>
      </c>
      <c r="N64" s="295">
        <f t="shared" si="1"/>
        <v>821143.93728527054</v>
      </c>
      <c r="O64" s="296">
        <f t="shared" si="2"/>
        <v>3.9918789747566297E-2</v>
      </c>
      <c r="P64"/>
    </row>
    <row r="65" spans="1:16" x14ac:dyDescent="0.2">
      <c r="A65" s="321">
        <v>40603</v>
      </c>
      <c r="B65" s="331">
        <v>21011815.384615388</v>
      </c>
      <c r="C65" s="163">
        <v>4907120.8032</v>
      </c>
      <c r="D65" s="328">
        <f>'Weather Analysis'!R10</f>
        <v>520.1</v>
      </c>
      <c r="E65" s="328">
        <f>'Weather Analysis'!R30</f>
        <v>0</v>
      </c>
      <c r="F65" s="332">
        <v>31</v>
      </c>
      <c r="G65" s="324">
        <v>1</v>
      </c>
      <c r="H65" s="329">
        <v>139.69704800944226</v>
      </c>
      <c r="I65" s="324">
        <v>63</v>
      </c>
      <c r="J65" s="326">
        <f t="shared" si="7"/>
        <v>14035.250000000005</v>
      </c>
      <c r="K65" s="330">
        <v>368</v>
      </c>
      <c r="L65" s="322">
        <f>'CDM Activity'!C83</f>
        <v>230888.67589027292</v>
      </c>
      <c r="M65" s="324">
        <f t="shared" si="0"/>
        <v>21300344.057479929</v>
      </c>
      <c r="N65" s="295">
        <f t="shared" si="1"/>
        <v>288528.67286454141</v>
      </c>
      <c r="O65" s="296">
        <f t="shared" si="2"/>
        <v>1.3731734625643E-2</v>
      </c>
      <c r="P65"/>
    </row>
    <row r="66" spans="1:16" x14ac:dyDescent="0.2">
      <c r="A66" s="321">
        <v>40634</v>
      </c>
      <c r="B66" s="331">
        <v>18252353.846153848</v>
      </c>
      <c r="C66" s="163">
        <v>4732985.6480999999</v>
      </c>
      <c r="D66" s="328">
        <f>'Weather Analysis'!R11</f>
        <v>293.8</v>
      </c>
      <c r="E66" s="328">
        <f>'Weather Analysis'!R31</f>
        <v>0</v>
      </c>
      <c r="F66" s="332">
        <v>30</v>
      </c>
      <c r="G66" s="324">
        <v>1</v>
      </c>
      <c r="H66" s="329">
        <v>139.99617684801592</v>
      </c>
      <c r="I66" s="324">
        <v>64</v>
      </c>
      <c r="J66" s="326">
        <f t="shared" si="7"/>
        <v>14041.333333333339</v>
      </c>
      <c r="K66" s="330">
        <v>320</v>
      </c>
      <c r="L66" s="322">
        <f>'CDM Activity'!C84</f>
        <v>241047.41670358577</v>
      </c>
      <c r="M66" s="324">
        <f t="shared" si="0"/>
        <v>18739153.375825226</v>
      </c>
      <c r="N66" s="295">
        <f t="shared" si="1"/>
        <v>486799.52967137843</v>
      </c>
      <c r="O66" s="296">
        <f t="shared" si="2"/>
        <v>2.6670506926094753E-2</v>
      </c>
      <c r="P66"/>
    </row>
    <row r="67" spans="1:16" x14ac:dyDescent="0.2">
      <c r="A67" s="321">
        <v>40664</v>
      </c>
      <c r="B67" s="331">
        <v>18454400</v>
      </c>
      <c r="C67" s="163">
        <v>4046248.0761999995</v>
      </c>
      <c r="D67" s="328">
        <f>'Weather Analysis'!R12</f>
        <v>112.3</v>
      </c>
      <c r="E67" s="328">
        <f>'Weather Analysis'!R32</f>
        <v>33.4</v>
      </c>
      <c r="F67" s="323">
        <v>31</v>
      </c>
      <c r="G67" s="324">
        <v>1</v>
      </c>
      <c r="H67" s="329">
        <v>140.29594620164227</v>
      </c>
      <c r="I67" s="324">
        <v>65</v>
      </c>
      <c r="J67" s="326">
        <f t="shared" si="7"/>
        <v>14047.416666666673</v>
      </c>
      <c r="K67" s="330">
        <v>336</v>
      </c>
      <c r="L67" s="322">
        <f>'CDM Activity'!C85</f>
        <v>251206.15751689862</v>
      </c>
      <c r="M67" s="324">
        <f t="shared" si="0"/>
        <v>19017891.36830179</v>
      </c>
      <c r="N67" s="295">
        <f t="shared" si="1"/>
        <v>563491.36830179021</v>
      </c>
      <c r="O67" s="296">
        <f t="shared" si="2"/>
        <v>3.0534255695215787E-2</v>
      </c>
      <c r="P67"/>
    </row>
    <row r="68" spans="1:16" x14ac:dyDescent="0.2">
      <c r="A68" s="321">
        <v>40695</v>
      </c>
      <c r="B68" s="331">
        <v>21528092.307692308</v>
      </c>
      <c r="C68" s="163">
        <v>3885225.7753999992</v>
      </c>
      <c r="D68" s="328">
        <f>'Weather Analysis'!R13</f>
        <v>10.1</v>
      </c>
      <c r="E68" s="328">
        <f>'Weather Analysis'!R33</f>
        <v>104.8</v>
      </c>
      <c r="F68" s="323">
        <v>30</v>
      </c>
      <c r="G68" s="324">
        <v>0</v>
      </c>
      <c r="H68" s="329">
        <v>140.59635744183578</v>
      </c>
      <c r="I68" s="324">
        <v>66</v>
      </c>
      <c r="J68" s="333">
        <f>'Rate Class Customer Model'!I9</f>
        <v>14053.5</v>
      </c>
      <c r="K68" s="330">
        <v>352</v>
      </c>
      <c r="L68" s="322">
        <f>'CDM Activity'!C86</f>
        <v>261364.89833021146</v>
      </c>
      <c r="M68" s="324">
        <f t="shared" ref="M68:M131" si="8">$Q$18+C68*$Q$19+D68*$Q$20+E68*$Q$21+F68*$Q$22+G68*$Q$23</f>
        <v>21457947.552568413</v>
      </c>
      <c r="N68" s="295">
        <f t="shared" ref="N68:N122" si="9">M68-B68</f>
        <v>-70144.755123894662</v>
      </c>
      <c r="O68" s="296">
        <f t="shared" ref="O68:O122" si="10">ABS(N68/B68)</f>
        <v>3.2582894072240155E-3</v>
      </c>
      <c r="P68"/>
    </row>
    <row r="69" spans="1:16" x14ac:dyDescent="0.2">
      <c r="A69" s="321">
        <v>40725</v>
      </c>
      <c r="B69" s="331">
        <v>28389523.076923076</v>
      </c>
      <c r="C69" s="163">
        <v>4417346.6200999999</v>
      </c>
      <c r="D69" s="328">
        <f>'Weather Analysis'!R14</f>
        <v>0</v>
      </c>
      <c r="E69" s="328">
        <f>'Weather Analysis'!R34</f>
        <v>242.3</v>
      </c>
      <c r="F69" s="323">
        <v>31</v>
      </c>
      <c r="G69" s="324">
        <v>0</v>
      </c>
      <c r="H69" s="329">
        <v>140.89741194304773</v>
      </c>
      <c r="I69" s="324">
        <v>67</v>
      </c>
      <c r="J69" s="326">
        <f t="shared" ref="J69:J79" si="11">($J$80-$J$68)/12+J68</f>
        <v>14060.916666666666</v>
      </c>
      <c r="K69" s="330">
        <v>320</v>
      </c>
      <c r="L69" s="322">
        <f>'CDM Activity'!C87</f>
        <v>271523.63914352434</v>
      </c>
      <c r="M69" s="324">
        <f t="shared" si="8"/>
        <v>28465831.983959772</v>
      </c>
      <c r="N69" s="295">
        <f t="shared" si="9"/>
        <v>76308.907036695629</v>
      </c>
      <c r="O69" s="296">
        <f t="shared" si="10"/>
        <v>2.6879249373063497E-3</v>
      </c>
      <c r="P69"/>
    </row>
    <row r="70" spans="1:16" x14ac:dyDescent="0.2">
      <c r="A70" s="321">
        <v>40756</v>
      </c>
      <c r="B70" s="331">
        <v>24810530.769230768</v>
      </c>
      <c r="C70" s="163">
        <v>6295914.5817999998</v>
      </c>
      <c r="D70" s="328">
        <f>'Weather Analysis'!R15</f>
        <v>0</v>
      </c>
      <c r="E70" s="328">
        <f>'Weather Analysis'!R35</f>
        <v>144.4</v>
      </c>
      <c r="F70" s="323">
        <v>31</v>
      </c>
      <c r="G70" s="324">
        <v>0</v>
      </c>
      <c r="H70" s="329">
        <v>141.19911108267243</v>
      </c>
      <c r="I70" s="324">
        <v>68</v>
      </c>
      <c r="J70" s="326">
        <f t="shared" si="11"/>
        <v>14068.333333333332</v>
      </c>
      <c r="K70" s="330">
        <v>352</v>
      </c>
      <c r="L70" s="322">
        <f>'CDM Activity'!C88</f>
        <v>281682.37995683722</v>
      </c>
      <c r="M70" s="324">
        <f t="shared" si="8"/>
        <v>25253697.401450433</v>
      </c>
      <c r="N70" s="295">
        <f t="shared" si="9"/>
        <v>443166.63221966475</v>
      </c>
      <c r="O70" s="296">
        <f t="shared" si="10"/>
        <v>1.7862037549364558E-2</v>
      </c>
      <c r="P70"/>
    </row>
    <row r="71" spans="1:16" x14ac:dyDescent="0.2">
      <c r="A71" s="321">
        <v>40787</v>
      </c>
      <c r="B71" s="331">
        <v>19628307.692307692</v>
      </c>
      <c r="C71" s="163">
        <v>5299992.0924000004</v>
      </c>
      <c r="D71" s="328">
        <f>'Weather Analysis'!R16</f>
        <v>59.3</v>
      </c>
      <c r="E71" s="328">
        <f>'Weather Analysis'!R36</f>
        <v>47.7</v>
      </c>
      <c r="F71" s="323">
        <v>30</v>
      </c>
      <c r="G71" s="324">
        <v>1</v>
      </c>
      <c r="H71" s="329">
        <v>141.50145624105357</v>
      </c>
      <c r="I71" s="324">
        <v>69</v>
      </c>
      <c r="J71" s="326">
        <f t="shared" si="11"/>
        <v>14075.749999999998</v>
      </c>
      <c r="K71" s="330">
        <v>336</v>
      </c>
      <c r="L71" s="322">
        <f>'CDM Activity'!C89</f>
        <v>291841.1207701501</v>
      </c>
      <c r="M71" s="324">
        <f t="shared" si="8"/>
        <v>19336768.448443718</v>
      </c>
      <c r="N71" s="295">
        <f t="shared" si="9"/>
        <v>-291539.24386397377</v>
      </c>
      <c r="O71" s="296">
        <f t="shared" si="10"/>
        <v>1.4852999475763649E-2</v>
      </c>
      <c r="P71"/>
    </row>
    <row r="72" spans="1:16" x14ac:dyDescent="0.2">
      <c r="A72" s="321">
        <v>40817</v>
      </c>
      <c r="B72" s="331">
        <v>18511823.076923076</v>
      </c>
      <c r="C72" s="163">
        <v>4140209.2447999995</v>
      </c>
      <c r="D72" s="328">
        <f>'Weather Analysis'!R17</f>
        <v>189.5</v>
      </c>
      <c r="E72" s="328">
        <f>'Weather Analysis'!R37</f>
        <v>4.5999999999999996</v>
      </c>
      <c r="F72" s="323">
        <v>31</v>
      </c>
      <c r="G72" s="324">
        <v>1</v>
      </c>
      <c r="H72" s="329">
        <v>141.80444880149057</v>
      </c>
      <c r="I72" s="324">
        <v>70</v>
      </c>
      <c r="J72" s="326">
        <f t="shared" si="11"/>
        <v>14083.166666666664</v>
      </c>
      <c r="K72" s="330">
        <v>320</v>
      </c>
      <c r="L72" s="322">
        <f>'CDM Activity'!C90</f>
        <v>301999.86158346297</v>
      </c>
      <c r="M72" s="324">
        <f t="shared" si="8"/>
        <v>18409217.443235971</v>
      </c>
      <c r="N72" s="295">
        <f t="shared" si="9"/>
        <v>-102605.63368710503</v>
      </c>
      <c r="O72" s="296">
        <f t="shared" si="10"/>
        <v>5.5427082065738669E-3</v>
      </c>
      <c r="P72"/>
    </row>
    <row r="73" spans="1:16" x14ac:dyDescent="0.2">
      <c r="A73" s="321">
        <v>40848</v>
      </c>
      <c r="B73" s="331">
        <v>18941946.153846152</v>
      </c>
      <c r="C73" s="163">
        <v>3941621.7615999999</v>
      </c>
      <c r="D73" s="328">
        <f>'Weather Analysis'!R18</f>
        <v>315.10000000000002</v>
      </c>
      <c r="E73" s="328">
        <f>'Weather Analysis'!R38</f>
        <v>0</v>
      </c>
      <c r="F73" s="323">
        <v>30</v>
      </c>
      <c r="G73" s="324">
        <v>1</v>
      </c>
      <c r="H73" s="329">
        <v>142.10809015024478</v>
      </c>
      <c r="I73" s="324">
        <v>71</v>
      </c>
      <c r="J73" s="326">
        <f t="shared" si="11"/>
        <v>14090.58333333333</v>
      </c>
      <c r="K73" s="330">
        <v>352</v>
      </c>
      <c r="L73" s="322">
        <f>'CDM Activity'!C91</f>
        <v>312158.60239677585</v>
      </c>
      <c r="M73" s="324">
        <f t="shared" si="8"/>
        <v>18428935.361699745</v>
      </c>
      <c r="N73" s="295">
        <f t="shared" si="9"/>
        <v>-513010.79214640707</v>
      </c>
      <c r="O73" s="296">
        <f t="shared" si="10"/>
        <v>2.7083320160438767E-2</v>
      </c>
      <c r="P73"/>
    </row>
    <row r="74" spans="1:16" x14ac:dyDescent="0.2">
      <c r="A74" s="321">
        <v>40878</v>
      </c>
      <c r="B74" s="331">
        <v>21539476.923076924</v>
      </c>
      <c r="C74" s="163">
        <v>4160346.3289999999</v>
      </c>
      <c r="D74" s="328">
        <f>'Weather Analysis'!R19</f>
        <v>495.6</v>
      </c>
      <c r="E74" s="328">
        <f>'Weather Analysis'!R39</f>
        <v>0</v>
      </c>
      <c r="F74" s="323">
        <v>31</v>
      </c>
      <c r="G74" s="324">
        <v>0</v>
      </c>
      <c r="H74" s="329">
        <v>142.41238167654581</v>
      </c>
      <c r="I74" s="324">
        <v>72</v>
      </c>
      <c r="J74" s="326">
        <f t="shared" si="11"/>
        <v>14097.999999999996</v>
      </c>
      <c r="K74" s="330">
        <v>336</v>
      </c>
      <c r="L74" s="322">
        <f>'CDM Activity'!C92</f>
        <v>322317.34321008873</v>
      </c>
      <c r="M74" s="324">
        <f t="shared" si="8"/>
        <v>21485345.827024702</v>
      </c>
      <c r="N74" s="295">
        <f t="shared" si="9"/>
        <v>-54131.096052221954</v>
      </c>
      <c r="O74" s="296">
        <f t="shared" si="10"/>
        <v>2.5131109843353292E-3</v>
      </c>
      <c r="P74"/>
    </row>
    <row r="75" spans="1:16" x14ac:dyDescent="0.2">
      <c r="A75" s="321">
        <v>40909</v>
      </c>
      <c r="B75" s="163">
        <v>22039669.230769232</v>
      </c>
      <c r="C75" s="163">
        <v>5033525.5924000004</v>
      </c>
      <c r="D75" s="328">
        <f>'Weather Analysis'!S8</f>
        <v>586.79999999999995</v>
      </c>
      <c r="E75" s="328">
        <f>'Weather Analysis'!S28</f>
        <v>0</v>
      </c>
      <c r="F75" s="323">
        <v>31</v>
      </c>
      <c r="G75" s="324">
        <v>0</v>
      </c>
      <c r="H75" s="329">
        <v>142.61257743956915</v>
      </c>
      <c r="I75" s="324">
        <v>73</v>
      </c>
      <c r="J75" s="326">
        <f t="shared" si="11"/>
        <v>14105.416666666662</v>
      </c>
      <c r="K75" s="330">
        <v>336</v>
      </c>
      <c r="L75" s="322">
        <f>'CDM Activity'!C93</f>
        <v>323926.13275312429</v>
      </c>
      <c r="M75" s="324">
        <f t="shared" si="8"/>
        <v>22740351.927843399</v>
      </c>
      <c r="N75" s="295">
        <f t="shared" si="9"/>
        <v>700682.69707416743</v>
      </c>
      <c r="O75" s="296">
        <f t="shared" si="10"/>
        <v>3.1791888060459433E-2</v>
      </c>
      <c r="P75"/>
    </row>
    <row r="76" spans="1:16" x14ac:dyDescent="0.2">
      <c r="A76" s="321">
        <v>40940</v>
      </c>
      <c r="B76" s="163">
        <v>19611361.53846154</v>
      </c>
      <c r="C76" s="163">
        <v>5163650.5350000001</v>
      </c>
      <c r="D76" s="328">
        <f>'Weather Analysis'!S9</f>
        <v>507.1</v>
      </c>
      <c r="E76" s="328">
        <f>'Weather Analysis'!S29</f>
        <v>0</v>
      </c>
      <c r="F76" s="323">
        <v>29</v>
      </c>
      <c r="G76" s="324">
        <v>0</v>
      </c>
      <c r="H76" s="329">
        <v>142.81305462716429</v>
      </c>
      <c r="I76" s="324">
        <v>74</v>
      </c>
      <c r="J76" s="326">
        <f t="shared" si="11"/>
        <v>14112.833333333328</v>
      </c>
      <c r="K76" s="330">
        <v>320</v>
      </c>
      <c r="L76" s="322">
        <f>'CDM Activity'!C94</f>
        <v>325534.92229615984</v>
      </c>
      <c r="M76" s="324">
        <f t="shared" si="8"/>
        <v>20875231.133247908</v>
      </c>
      <c r="N76" s="295">
        <f t="shared" si="9"/>
        <v>1263869.5947863683</v>
      </c>
      <c r="O76" s="296">
        <f t="shared" si="10"/>
        <v>6.4445785281541226E-2</v>
      </c>
      <c r="P76"/>
    </row>
    <row r="77" spans="1:16" x14ac:dyDescent="0.2">
      <c r="A77" s="321">
        <v>40969</v>
      </c>
      <c r="B77" s="163">
        <v>18499069.230769232</v>
      </c>
      <c r="C77" s="163">
        <v>4524363.9985999996</v>
      </c>
      <c r="D77" s="328">
        <f>'Weather Analysis'!S10</f>
        <v>267.8</v>
      </c>
      <c r="E77" s="328">
        <f>'Weather Analysis'!S30</f>
        <v>5.9</v>
      </c>
      <c r="F77" s="323">
        <v>31</v>
      </c>
      <c r="G77" s="324">
        <v>1</v>
      </c>
      <c r="H77" s="329">
        <v>143.01381363494295</v>
      </c>
      <c r="I77" s="324">
        <v>75</v>
      </c>
      <c r="J77" s="326">
        <f t="shared" si="11"/>
        <v>14120.249999999995</v>
      </c>
      <c r="K77" s="330">
        <v>352</v>
      </c>
      <c r="L77" s="322">
        <f>'CDM Activity'!C95</f>
        <v>327143.7118391954</v>
      </c>
      <c r="M77" s="324">
        <f t="shared" si="8"/>
        <v>19322913.194184385</v>
      </c>
      <c r="N77" s="295">
        <f t="shared" si="9"/>
        <v>823843.96341515332</v>
      </c>
      <c r="O77" s="296">
        <f t="shared" si="10"/>
        <v>4.4534346735935537E-2</v>
      </c>
      <c r="P77"/>
    </row>
    <row r="78" spans="1:16" x14ac:dyDescent="0.2">
      <c r="A78" s="321">
        <v>41000</v>
      </c>
      <c r="B78" s="163">
        <v>19946663.636363637</v>
      </c>
      <c r="C78" s="163">
        <v>4020800.6875999994</v>
      </c>
      <c r="D78" s="328">
        <f>'Weather Analysis'!S11</f>
        <v>264.39999999999998</v>
      </c>
      <c r="E78" s="328">
        <f>'Weather Analysis'!S31</f>
        <v>0.9</v>
      </c>
      <c r="F78" s="323">
        <v>30</v>
      </c>
      <c r="G78" s="324">
        <v>1</v>
      </c>
      <c r="H78" s="329">
        <v>143.21485485907297</v>
      </c>
      <c r="I78" s="324">
        <v>76</v>
      </c>
      <c r="J78" s="326">
        <f t="shared" si="11"/>
        <v>14127.666666666661</v>
      </c>
      <c r="K78" s="330">
        <v>320</v>
      </c>
      <c r="L78" s="322">
        <f>'CDM Activity'!C96</f>
        <v>328752.50138223096</v>
      </c>
      <c r="M78" s="324">
        <f t="shared" si="8"/>
        <v>18113496.039835628</v>
      </c>
      <c r="N78" s="295">
        <f t="shared" si="9"/>
        <v>-1833167.5965280086</v>
      </c>
      <c r="O78" s="296">
        <f t="shared" si="10"/>
        <v>9.1903469670289326E-2</v>
      </c>
      <c r="P78"/>
    </row>
    <row r="79" spans="1:16" x14ac:dyDescent="0.2">
      <c r="A79" s="321">
        <v>41030</v>
      </c>
      <c r="B79" s="163">
        <v>18352863.636363637</v>
      </c>
      <c r="C79" s="163">
        <v>3715365.5429000002</v>
      </c>
      <c r="D79" s="328">
        <f>'Weather Analysis'!S12</f>
        <v>50.400000000000006</v>
      </c>
      <c r="E79" s="328">
        <f>'Weather Analysis'!S32</f>
        <v>51.699999999999996</v>
      </c>
      <c r="F79" s="323">
        <v>31</v>
      </c>
      <c r="G79" s="324">
        <v>1</v>
      </c>
      <c r="H79" s="329">
        <v>143.41617869627913</v>
      </c>
      <c r="I79" s="324">
        <v>77</v>
      </c>
      <c r="J79" s="326">
        <f t="shared" si="11"/>
        <v>14135.083333333327</v>
      </c>
      <c r="K79" s="330">
        <v>352</v>
      </c>
      <c r="L79" s="322">
        <f>'CDM Activity'!C97</f>
        <v>330361.29092526651</v>
      </c>
      <c r="M79" s="324">
        <f t="shared" si="8"/>
        <v>19138052.74706712</v>
      </c>
      <c r="N79" s="295">
        <f t="shared" si="9"/>
        <v>785189.11070348322</v>
      </c>
      <c r="O79" s="296">
        <f t="shared" si="10"/>
        <v>4.2782920761626576E-2</v>
      </c>
      <c r="P79"/>
    </row>
    <row r="80" spans="1:16" x14ac:dyDescent="0.2">
      <c r="A80" s="321">
        <v>41061</v>
      </c>
      <c r="B80" s="163">
        <v>22640936.36363636</v>
      </c>
      <c r="C80" s="163">
        <v>3836936.6406</v>
      </c>
      <c r="D80" s="328">
        <f>'Weather Analysis'!S13</f>
        <v>11.9</v>
      </c>
      <c r="E80" s="328">
        <f>'Weather Analysis'!S33</f>
        <v>135.30000000000001</v>
      </c>
      <c r="F80" s="323">
        <v>30</v>
      </c>
      <c r="G80" s="324">
        <v>0</v>
      </c>
      <c r="H80" s="329">
        <v>143.61778554384387</v>
      </c>
      <c r="I80" s="324">
        <v>78</v>
      </c>
      <c r="J80" s="333">
        <f>'Rate Class Customer Model'!I10</f>
        <v>14142.5</v>
      </c>
      <c r="K80" s="330">
        <v>336</v>
      </c>
      <c r="L80" s="322">
        <f>'CDM Activity'!C98</f>
        <v>331970.08046830207</v>
      </c>
      <c r="M80" s="324">
        <f t="shared" si="8"/>
        <v>22798483.139601395</v>
      </c>
      <c r="N80" s="295">
        <f t="shared" si="9"/>
        <v>157546.77596503496</v>
      </c>
      <c r="O80" s="296">
        <f t="shared" si="10"/>
        <v>6.9584920621070722E-3</v>
      </c>
      <c r="P80"/>
    </row>
    <row r="81" spans="1:16" x14ac:dyDescent="0.2">
      <c r="A81" s="321">
        <v>41091</v>
      </c>
      <c r="B81" s="163">
        <v>27569299.999999996</v>
      </c>
      <c r="C81" s="163">
        <v>4801683.09</v>
      </c>
      <c r="D81" s="328">
        <f>'Weather Analysis'!S14</f>
        <v>0</v>
      </c>
      <c r="E81" s="328">
        <f>'Weather Analysis'!S34</f>
        <v>217.80000000000007</v>
      </c>
      <c r="F81" s="323">
        <v>31</v>
      </c>
      <c r="G81" s="324">
        <v>0</v>
      </c>
      <c r="H81" s="329">
        <v>143.81967579960809</v>
      </c>
      <c r="I81" s="324">
        <v>79</v>
      </c>
      <c r="J81" s="326">
        <f t="shared" ref="J81:J91" si="12">($J$92-$J$80)/12+J80</f>
        <v>14149.666666666666</v>
      </c>
      <c r="K81" s="330">
        <v>336</v>
      </c>
      <c r="L81" s="322">
        <f>'CDM Activity'!C99</f>
        <v>333578.87001133763</v>
      </c>
      <c r="M81" s="324">
        <f t="shared" si="8"/>
        <v>27609976.893658895</v>
      </c>
      <c r="N81" s="295">
        <f t="shared" si="9"/>
        <v>40676.893658898771</v>
      </c>
      <c r="O81" s="296">
        <f t="shared" si="10"/>
        <v>1.4754416564402716E-3</v>
      </c>
      <c r="P81"/>
    </row>
    <row r="82" spans="1:16" x14ac:dyDescent="0.2">
      <c r="A82" s="321">
        <v>41122</v>
      </c>
      <c r="B82" s="163">
        <v>23505663.636363633</v>
      </c>
      <c r="C82" s="163">
        <v>6167729.818</v>
      </c>
      <c r="D82" s="328">
        <f>'Weather Analysis'!S15</f>
        <v>0.6</v>
      </c>
      <c r="E82" s="328">
        <f>'Weather Analysis'!S35</f>
        <v>131.80000000000004</v>
      </c>
      <c r="F82" s="323">
        <v>31</v>
      </c>
      <c r="G82" s="324">
        <v>0</v>
      </c>
      <c r="H82" s="329">
        <v>144.02184986197204</v>
      </c>
      <c r="I82" s="324">
        <v>80</v>
      </c>
      <c r="J82" s="326">
        <f t="shared" si="12"/>
        <v>14156.833333333332</v>
      </c>
      <c r="K82" s="330">
        <v>352</v>
      </c>
      <c r="L82" s="322">
        <f>'CDM Activity'!C100</f>
        <v>335187.65955437318</v>
      </c>
      <c r="M82" s="324">
        <f t="shared" si="8"/>
        <v>24620798.309142753</v>
      </c>
      <c r="N82" s="295">
        <f t="shared" si="9"/>
        <v>1115134.6727791205</v>
      </c>
      <c r="O82" s="296">
        <f t="shared" si="10"/>
        <v>4.744110568543955E-2</v>
      </c>
      <c r="P82"/>
    </row>
    <row r="83" spans="1:16" x14ac:dyDescent="0.2">
      <c r="A83" s="321">
        <v>41153</v>
      </c>
      <c r="B83" s="163">
        <v>18912418.18181818</v>
      </c>
      <c r="C83" s="163">
        <v>5144563.318</v>
      </c>
      <c r="D83" s="328">
        <f>'Weather Analysis'!S16</f>
        <v>59.600000000000009</v>
      </c>
      <c r="E83" s="328">
        <f>'Weather Analysis'!S36</f>
        <v>49.1</v>
      </c>
      <c r="F83" s="323">
        <v>30</v>
      </c>
      <c r="G83" s="324">
        <v>1</v>
      </c>
      <c r="H83" s="329">
        <v>144.22430812989595</v>
      </c>
      <c r="I83" s="324">
        <v>81</v>
      </c>
      <c r="J83" s="326">
        <f t="shared" si="12"/>
        <v>14163.999999999998</v>
      </c>
      <c r="K83" s="330">
        <v>304</v>
      </c>
      <c r="L83" s="322">
        <f>'CDM Activity'!C101</f>
        <v>336796.44909740874</v>
      </c>
      <c r="M83" s="324">
        <f t="shared" si="8"/>
        <v>19307156.967218172</v>
      </c>
      <c r="N83" s="295">
        <f t="shared" si="9"/>
        <v>394738.78539999202</v>
      </c>
      <c r="O83" s="296">
        <f t="shared" si="10"/>
        <v>2.0871936185266979E-2</v>
      </c>
      <c r="P83"/>
    </row>
    <row r="84" spans="1:16" x14ac:dyDescent="0.2">
      <c r="A84" s="321">
        <v>41183</v>
      </c>
      <c r="B84" s="163">
        <v>17381318.18181818</v>
      </c>
      <c r="C84" s="163">
        <v>4109515.5469999998</v>
      </c>
      <c r="D84" s="328">
        <f>'Weather Analysis'!S17</f>
        <v>205.90000000000006</v>
      </c>
      <c r="E84" s="328">
        <f>'Weather Analysis'!S37</f>
        <v>4.0999999999999996</v>
      </c>
      <c r="F84" s="323">
        <v>31</v>
      </c>
      <c r="G84" s="324">
        <v>1</v>
      </c>
      <c r="H84" s="329">
        <v>144.42705100290087</v>
      </c>
      <c r="I84" s="324">
        <v>82</v>
      </c>
      <c r="J84" s="326">
        <f t="shared" si="12"/>
        <v>14171.166666666664</v>
      </c>
      <c r="K84" s="330">
        <v>352</v>
      </c>
      <c r="L84" s="322">
        <f>'CDM Activity'!C102</f>
        <v>338405.2386404443</v>
      </c>
      <c r="M84" s="324">
        <f t="shared" si="8"/>
        <v>18498889.818390444</v>
      </c>
      <c r="N84" s="295">
        <f t="shared" si="9"/>
        <v>1117571.6365722641</v>
      </c>
      <c r="O84" s="296">
        <f t="shared" si="10"/>
        <v>6.4297288898451085E-2</v>
      </c>
      <c r="P84"/>
    </row>
    <row r="85" spans="1:16" x14ac:dyDescent="0.2">
      <c r="A85" s="321">
        <v>41214</v>
      </c>
      <c r="B85" s="163">
        <v>18308972.727272727</v>
      </c>
      <c r="C85" s="163">
        <v>3700252.9467000002</v>
      </c>
      <c r="D85" s="328">
        <f>'Weather Analysis'!S18</f>
        <v>407.2</v>
      </c>
      <c r="E85" s="328">
        <f>'Weather Analysis'!S38</f>
        <v>0</v>
      </c>
      <c r="F85" s="323">
        <v>30</v>
      </c>
      <c r="G85" s="324">
        <v>1</v>
      </c>
      <c r="H85" s="329">
        <v>144.63007888106955</v>
      </c>
      <c r="I85" s="324">
        <v>83</v>
      </c>
      <c r="J85" s="326">
        <f t="shared" si="12"/>
        <v>14178.33333333333</v>
      </c>
      <c r="K85" s="330">
        <v>352</v>
      </c>
      <c r="L85" s="322">
        <f>'CDM Activity'!C103</f>
        <v>340014.02818347985</v>
      </c>
      <c r="M85" s="324">
        <f t="shared" si="8"/>
        <v>19015487.67271756</v>
      </c>
      <c r="N85" s="295">
        <f t="shared" si="9"/>
        <v>706514.94544483349</v>
      </c>
      <c r="O85" s="296">
        <f t="shared" si="10"/>
        <v>3.8588453648872451E-2</v>
      </c>
      <c r="P85"/>
    </row>
    <row r="86" spans="1:16" x14ac:dyDescent="0.2">
      <c r="A86" s="321">
        <v>41244</v>
      </c>
      <c r="B86" s="163">
        <v>20133590.90909091</v>
      </c>
      <c r="C86" s="163">
        <v>3952350.1461</v>
      </c>
      <c r="D86" s="328">
        <f>'Weather Analysis'!S19</f>
        <v>495.99999999999994</v>
      </c>
      <c r="E86" s="328">
        <f>'Weather Analysis'!S39</f>
        <v>0</v>
      </c>
      <c r="F86" s="323">
        <v>31</v>
      </c>
      <c r="G86" s="324">
        <v>0</v>
      </c>
      <c r="H86" s="329">
        <v>144.83339216504706</v>
      </c>
      <c r="I86" s="324">
        <v>84</v>
      </c>
      <c r="J86" s="326">
        <f t="shared" si="12"/>
        <v>14185.499999999996</v>
      </c>
      <c r="K86" s="330">
        <v>304</v>
      </c>
      <c r="L86" s="322">
        <f>'CDM Activity'!C104</f>
        <v>341622.81772651541</v>
      </c>
      <c r="M86" s="324">
        <f t="shared" si="8"/>
        <v>21362445.875087574</v>
      </c>
      <c r="N86" s="295">
        <f t="shared" si="9"/>
        <v>1228854.965996664</v>
      </c>
      <c r="O86" s="296">
        <f t="shared" si="10"/>
        <v>6.1035061830018597E-2</v>
      </c>
      <c r="P86"/>
    </row>
    <row r="87" spans="1:16" x14ac:dyDescent="0.2">
      <c r="A87" s="321">
        <v>41275</v>
      </c>
      <c r="B87" s="163">
        <v>23386699.999999996</v>
      </c>
      <c r="C87" s="163">
        <v>4815275.5839999998</v>
      </c>
      <c r="D87" s="328">
        <f>'Weather Analysis'!T8</f>
        <v>613.5</v>
      </c>
      <c r="E87" s="328">
        <f>'Weather Analysis'!T28</f>
        <v>0</v>
      </c>
      <c r="F87" s="323">
        <v>31</v>
      </c>
      <c r="G87" s="324">
        <v>0</v>
      </c>
      <c r="H87" s="329">
        <v>144.98936781896037</v>
      </c>
      <c r="I87" s="324">
        <v>85</v>
      </c>
      <c r="J87" s="326">
        <f t="shared" si="12"/>
        <v>14192.666666666662</v>
      </c>
      <c r="K87" s="330">
        <v>352</v>
      </c>
      <c r="L87" s="322">
        <f>'CDM Activity'!C105</f>
        <v>351951.10870257241</v>
      </c>
      <c r="M87" s="324">
        <f t="shared" si="8"/>
        <v>22820512.636017367</v>
      </c>
      <c r="N87" s="295">
        <f t="shared" si="9"/>
        <v>-566187.36398262903</v>
      </c>
      <c r="O87" s="296">
        <f t="shared" si="10"/>
        <v>2.4209801467613177E-2</v>
      </c>
      <c r="P87"/>
    </row>
    <row r="88" spans="1:16" x14ac:dyDescent="0.2">
      <c r="A88" s="321">
        <v>41306</v>
      </c>
      <c r="B88" s="163">
        <v>21170572.727272727</v>
      </c>
      <c r="C88" s="163">
        <v>5121922.8539999994</v>
      </c>
      <c r="D88" s="328">
        <f>'Weather Analysis'!T9</f>
        <v>590.79999999999995</v>
      </c>
      <c r="E88" s="328">
        <f>'Weather Analysis'!T29</f>
        <v>0</v>
      </c>
      <c r="F88" s="323">
        <v>28</v>
      </c>
      <c r="G88" s="324">
        <v>0</v>
      </c>
      <c r="H88" s="329">
        <v>145.14551144798114</v>
      </c>
      <c r="I88" s="324">
        <v>86</v>
      </c>
      <c r="J88" s="326">
        <f t="shared" si="12"/>
        <v>14199.833333333328</v>
      </c>
      <c r="K88" s="330">
        <v>304</v>
      </c>
      <c r="L88" s="322">
        <f>'CDM Activity'!C106</f>
        <v>362279.39967862942</v>
      </c>
      <c r="M88" s="324">
        <f t="shared" si="8"/>
        <v>20861058.04255243</v>
      </c>
      <c r="N88" s="295">
        <f t="shared" si="9"/>
        <v>-309514.68472029641</v>
      </c>
      <c r="O88" s="296">
        <f t="shared" si="10"/>
        <v>1.462004305257023E-2</v>
      </c>
      <c r="P88"/>
    </row>
    <row r="89" spans="1:16" x14ac:dyDescent="0.2">
      <c r="A89" s="321">
        <v>41334</v>
      </c>
      <c r="B89" s="163">
        <v>21583554.545454543</v>
      </c>
      <c r="C89" s="163">
        <v>4664194.591599999</v>
      </c>
      <c r="D89" s="328">
        <f>'Weather Analysis'!T10</f>
        <v>524.20000000000016</v>
      </c>
      <c r="E89" s="328">
        <f>'Weather Analysis'!T30</f>
        <v>0</v>
      </c>
      <c r="F89" s="323">
        <v>31</v>
      </c>
      <c r="G89" s="324">
        <v>1</v>
      </c>
      <c r="H89" s="329">
        <v>145.30182323300707</v>
      </c>
      <c r="I89" s="324">
        <v>87</v>
      </c>
      <c r="J89" s="326">
        <f t="shared" si="12"/>
        <v>14206.999999999995</v>
      </c>
      <c r="K89" s="330">
        <v>320</v>
      </c>
      <c r="L89" s="322">
        <f>'CDM Activity'!C107</f>
        <v>372607.69065468642</v>
      </c>
      <c r="M89" s="324">
        <f t="shared" si="8"/>
        <v>21185712.17964809</v>
      </c>
      <c r="N89" s="295">
        <f t="shared" si="9"/>
        <v>-397842.36580645293</v>
      </c>
      <c r="O89" s="296">
        <f t="shared" si="10"/>
        <v>1.8432662005167161E-2</v>
      </c>
      <c r="P89"/>
    </row>
    <row r="90" spans="1:16" x14ac:dyDescent="0.2">
      <c r="A90" s="321">
        <v>41365</v>
      </c>
      <c r="B90" s="163">
        <v>19125345.454545453</v>
      </c>
      <c r="C90" s="163">
        <v>4705233.0269999998</v>
      </c>
      <c r="D90" s="328">
        <f>'Weather Analysis'!T11</f>
        <v>318.29999999999995</v>
      </c>
      <c r="E90" s="328">
        <f>'Weather Analysis'!T31</f>
        <v>0</v>
      </c>
      <c r="F90" s="323">
        <v>30</v>
      </c>
      <c r="G90" s="324">
        <v>1</v>
      </c>
      <c r="H90" s="329">
        <v>145.45830335513068</v>
      </c>
      <c r="I90" s="324">
        <v>88</v>
      </c>
      <c r="J90" s="326">
        <f t="shared" si="12"/>
        <v>14214.166666666661</v>
      </c>
      <c r="K90" s="330">
        <v>352</v>
      </c>
      <c r="L90" s="322">
        <f>'CDM Activity'!C108</f>
        <v>382935.98163074342</v>
      </c>
      <c r="M90" s="324">
        <f t="shared" si="8"/>
        <v>18917283.544746067</v>
      </c>
      <c r="N90" s="295">
        <f t="shared" si="9"/>
        <v>-208061.90979938582</v>
      </c>
      <c r="O90" s="296">
        <f t="shared" si="10"/>
        <v>1.087885760254001E-2</v>
      </c>
      <c r="P90"/>
    </row>
    <row r="91" spans="1:16" x14ac:dyDescent="0.2">
      <c r="A91" s="321">
        <v>41395</v>
      </c>
      <c r="B91" s="163">
        <v>17617625.000000004</v>
      </c>
      <c r="C91" s="163">
        <v>3915508.8012999999</v>
      </c>
      <c r="D91" s="328">
        <f>'Weather Analysis'!T12</f>
        <v>83.3</v>
      </c>
      <c r="E91" s="328">
        <f>'Weather Analysis'!T32</f>
        <v>51.2</v>
      </c>
      <c r="F91" s="323">
        <v>31</v>
      </c>
      <c r="G91" s="324">
        <v>1</v>
      </c>
      <c r="H91" s="329">
        <v>145.6149519956395</v>
      </c>
      <c r="I91" s="324">
        <v>89</v>
      </c>
      <c r="J91" s="326">
        <f t="shared" si="12"/>
        <v>14221.333333333327</v>
      </c>
      <c r="K91" s="330">
        <v>352</v>
      </c>
      <c r="L91" s="322">
        <f>'CDM Activity'!C109</f>
        <v>393264.27260680043</v>
      </c>
      <c r="M91" s="324">
        <f t="shared" si="8"/>
        <v>19498948.598759372</v>
      </c>
      <c r="N91" s="295">
        <f t="shared" si="9"/>
        <v>1881323.5987593681</v>
      </c>
      <c r="O91" s="296">
        <f t="shared" si="10"/>
        <v>0.10678644815969052</v>
      </c>
      <c r="P91"/>
    </row>
    <row r="92" spans="1:16" x14ac:dyDescent="0.2">
      <c r="A92" s="321">
        <v>41426</v>
      </c>
      <c r="B92" s="163">
        <v>19936866.666666668</v>
      </c>
      <c r="C92" s="163">
        <v>3645317.7157999999</v>
      </c>
      <c r="D92" s="328">
        <f>'Weather Analysis'!T13</f>
        <v>18.200000000000003</v>
      </c>
      <c r="E92" s="328">
        <f>'Weather Analysis'!T33</f>
        <v>85.7</v>
      </c>
      <c r="F92" s="323">
        <v>30</v>
      </c>
      <c r="G92" s="324">
        <v>0</v>
      </c>
      <c r="H92" s="329">
        <v>145.77176933601632</v>
      </c>
      <c r="I92" s="324">
        <v>90</v>
      </c>
      <c r="J92" s="333">
        <f>'Rate Class Customer Model'!I11</f>
        <v>14228.5</v>
      </c>
      <c r="K92" s="330">
        <v>320</v>
      </c>
      <c r="L92" s="322">
        <f>'CDM Activity'!C110</f>
        <v>403592.56358285743</v>
      </c>
      <c r="M92" s="324">
        <f t="shared" si="8"/>
        <v>20528130.019515105</v>
      </c>
      <c r="N92" s="295">
        <f t="shared" si="9"/>
        <v>591263.35284843668</v>
      </c>
      <c r="O92" s="296">
        <f t="shared" si="10"/>
        <v>2.9656784224624231E-2</v>
      </c>
      <c r="P92"/>
    </row>
    <row r="93" spans="1:16" x14ac:dyDescent="0.2">
      <c r="A93" s="321">
        <v>41456</v>
      </c>
      <c r="B93" s="163">
        <v>23686275</v>
      </c>
      <c r="C93" s="163">
        <v>4244297.978099999</v>
      </c>
      <c r="D93" s="328">
        <f>'Weather Analysis'!T14</f>
        <v>2.6</v>
      </c>
      <c r="E93" s="328">
        <f>'Weather Analysis'!T34</f>
        <v>148.79999999999998</v>
      </c>
      <c r="F93" s="323">
        <v>31</v>
      </c>
      <c r="G93" s="324">
        <v>0</v>
      </c>
      <c r="H93" s="329">
        <v>145.92875555793933</v>
      </c>
      <c r="I93" s="324">
        <v>91</v>
      </c>
      <c r="J93" s="326">
        <f t="shared" ref="J93:J103" si="13">($J$104-$J$92)/12+J92</f>
        <v>14235.833333333334</v>
      </c>
      <c r="K93" s="330">
        <v>352</v>
      </c>
      <c r="L93" s="322">
        <f>'CDM Activity'!C111</f>
        <v>413920.85455891443</v>
      </c>
      <c r="M93" s="324">
        <f t="shared" si="8"/>
        <v>24226285.252654642</v>
      </c>
      <c r="N93" s="295">
        <f t="shared" si="9"/>
        <v>540010.25265464187</v>
      </c>
      <c r="O93" s="296">
        <f t="shared" si="10"/>
        <v>2.2798445625352312E-2</v>
      </c>
      <c r="P93"/>
    </row>
    <row r="94" spans="1:16" x14ac:dyDescent="0.2">
      <c r="A94" s="321">
        <v>41487</v>
      </c>
      <c r="B94" s="163">
        <v>22403900.000000004</v>
      </c>
      <c r="C94" s="163">
        <v>5299604.6619999995</v>
      </c>
      <c r="D94" s="328">
        <f>'Weather Analysis'!T15</f>
        <v>3.9000000000000004</v>
      </c>
      <c r="E94" s="328">
        <f>'Weather Analysis'!T35</f>
        <v>115.3</v>
      </c>
      <c r="F94" s="323">
        <v>31</v>
      </c>
      <c r="G94" s="324">
        <v>0</v>
      </c>
      <c r="H94" s="329">
        <v>146.08591084328242</v>
      </c>
      <c r="I94" s="324">
        <v>92</v>
      </c>
      <c r="J94" s="326">
        <f t="shared" si="13"/>
        <v>14243.166666666668</v>
      </c>
      <c r="K94" s="330">
        <v>336</v>
      </c>
      <c r="L94" s="322">
        <f>'CDM Activity'!C112</f>
        <v>424249.14553497144</v>
      </c>
      <c r="M94" s="324">
        <f t="shared" si="8"/>
        <v>23387523.504219688</v>
      </c>
      <c r="N94" s="295">
        <f t="shared" si="9"/>
        <v>983623.50421968475</v>
      </c>
      <c r="O94" s="296">
        <f t="shared" si="10"/>
        <v>4.3904119560419598E-2</v>
      </c>
      <c r="P94"/>
    </row>
    <row r="95" spans="1:16" x14ac:dyDescent="0.2">
      <c r="A95" s="321">
        <v>41518</v>
      </c>
      <c r="B95" s="163">
        <v>18880325</v>
      </c>
      <c r="C95" s="163">
        <v>4825504.0060000001</v>
      </c>
      <c r="D95" s="328">
        <f>'Weather Analysis'!T16</f>
        <v>53.699999999999996</v>
      </c>
      <c r="E95" s="328">
        <f>'Weather Analysis'!T36</f>
        <v>46.1</v>
      </c>
      <c r="F95" s="323">
        <v>30</v>
      </c>
      <c r="G95" s="324">
        <v>1</v>
      </c>
      <c r="H95" s="329">
        <v>146.2432353741153</v>
      </c>
      <c r="I95" s="324">
        <v>93</v>
      </c>
      <c r="J95" s="326">
        <f t="shared" si="13"/>
        <v>14250.500000000002</v>
      </c>
      <c r="K95" s="330">
        <v>320</v>
      </c>
      <c r="L95" s="322">
        <f>'CDM Activity'!C113</f>
        <v>434577.43651102844</v>
      </c>
      <c r="M95" s="324">
        <f t="shared" si="8"/>
        <v>18933475.753079452</v>
      </c>
      <c r="N95" s="295">
        <f t="shared" si="9"/>
        <v>53150.753079451621</v>
      </c>
      <c r="O95" s="296">
        <f t="shared" si="10"/>
        <v>2.815139732999915E-3</v>
      </c>
      <c r="P95"/>
    </row>
    <row r="96" spans="1:16" x14ac:dyDescent="0.2">
      <c r="A96" s="321">
        <v>41548</v>
      </c>
      <c r="B96" s="163">
        <v>18114283.333333336</v>
      </c>
      <c r="C96" s="163">
        <v>3980625.1063999999</v>
      </c>
      <c r="D96" s="328">
        <f>'Weather Analysis'!T17</f>
        <v>187.09999999999997</v>
      </c>
      <c r="E96" s="328">
        <f>'Weather Analysis'!T37</f>
        <v>12.6</v>
      </c>
      <c r="F96" s="323">
        <v>31</v>
      </c>
      <c r="G96" s="324">
        <v>1</v>
      </c>
      <c r="H96" s="329">
        <v>146.4007293327038</v>
      </c>
      <c r="I96" s="324">
        <v>94</v>
      </c>
      <c r="J96" s="326">
        <f t="shared" si="13"/>
        <v>14257.833333333336</v>
      </c>
      <c r="K96" s="330">
        <v>352</v>
      </c>
      <c r="L96" s="322">
        <f>'CDM Activity'!C114</f>
        <v>444905.72748708545</v>
      </c>
      <c r="M96" s="324">
        <f t="shared" si="8"/>
        <v>18648920.351167157</v>
      </c>
      <c r="N96" s="295">
        <f t="shared" si="9"/>
        <v>534637.01783382148</v>
      </c>
      <c r="O96" s="296">
        <f t="shared" si="10"/>
        <v>2.9514665747222758E-2</v>
      </c>
      <c r="P96"/>
    </row>
    <row r="97" spans="1:16" x14ac:dyDescent="0.2">
      <c r="A97" s="321">
        <v>41579</v>
      </c>
      <c r="B97" s="163">
        <v>19414258.333333336</v>
      </c>
      <c r="C97" s="163">
        <v>3873271.5369000002</v>
      </c>
      <c r="D97" s="328">
        <f>'Weather Analysis'!T18</f>
        <v>442.7</v>
      </c>
      <c r="E97" s="328">
        <f>'Weather Analysis'!T38</f>
        <v>0</v>
      </c>
      <c r="F97" s="323">
        <v>30</v>
      </c>
      <c r="G97" s="324">
        <v>1</v>
      </c>
      <c r="H97" s="329">
        <v>146.55839290151005</v>
      </c>
      <c r="I97" s="324">
        <v>95</v>
      </c>
      <c r="J97" s="326">
        <f t="shared" si="13"/>
        <v>14265.16666666667</v>
      </c>
      <c r="K97" s="330">
        <v>336</v>
      </c>
      <c r="L97" s="322">
        <f>'CDM Activity'!C115</f>
        <v>455234.01846314245</v>
      </c>
      <c r="M97" s="324">
        <f t="shared" si="8"/>
        <v>19402851.095165655</v>
      </c>
      <c r="N97" s="295">
        <f t="shared" si="9"/>
        <v>-11407.2381676808</v>
      </c>
      <c r="O97" s="296">
        <f t="shared" si="10"/>
        <v>5.8757012355682562E-4</v>
      </c>
      <c r="P97"/>
    </row>
    <row r="98" spans="1:16" x14ac:dyDescent="0.2">
      <c r="A98" s="321">
        <v>41609</v>
      </c>
      <c r="B98" s="163">
        <v>22361725</v>
      </c>
      <c r="C98" s="163">
        <v>4755196.7389000002</v>
      </c>
      <c r="D98" s="328">
        <f>'Weather Analysis'!T19</f>
        <v>635.79999999999995</v>
      </c>
      <c r="E98" s="328">
        <f>'Weather Analysis'!T39</f>
        <v>0</v>
      </c>
      <c r="F98" s="323">
        <v>31</v>
      </c>
      <c r="G98" s="324">
        <v>0</v>
      </c>
      <c r="H98" s="329">
        <v>146.71622626319265</v>
      </c>
      <c r="I98" s="324">
        <v>96</v>
      </c>
      <c r="J98" s="326">
        <f t="shared" si="13"/>
        <v>14272.500000000004</v>
      </c>
      <c r="K98" s="330">
        <v>320</v>
      </c>
      <c r="L98" s="322">
        <f>'CDM Activity'!C116</f>
        <v>465562.30943919945</v>
      </c>
      <c r="M98" s="324">
        <f t="shared" si="8"/>
        <v>22961541.33238554</v>
      </c>
      <c r="N98" s="295">
        <f t="shared" si="9"/>
        <v>599816.33238554001</v>
      </c>
      <c r="O98" s="296">
        <f t="shared" si="10"/>
        <v>2.6823348037127725E-2</v>
      </c>
      <c r="P98"/>
    </row>
    <row r="99" spans="1:16" x14ac:dyDescent="0.2">
      <c r="A99" s="321">
        <v>41640</v>
      </c>
      <c r="B99" s="163">
        <v>24264791.666666668</v>
      </c>
      <c r="C99" s="163">
        <v>5851666.1732000001</v>
      </c>
      <c r="D99" s="328">
        <f>'Weather Analysis'!U8</f>
        <v>784.99999999999977</v>
      </c>
      <c r="E99" s="328">
        <f>'Weather Analysis'!U28</f>
        <v>0</v>
      </c>
      <c r="F99" s="323">
        <v>31</v>
      </c>
      <c r="G99" s="324">
        <v>0</v>
      </c>
      <c r="H99" s="329">
        <v>147.04232175221028</v>
      </c>
      <c r="I99" s="324">
        <v>97</v>
      </c>
      <c r="J99" s="326">
        <f t="shared" si="13"/>
        <v>14279.833333333338</v>
      </c>
      <c r="K99" s="330">
        <v>352</v>
      </c>
      <c r="L99" s="322">
        <f>'CDM Activity'!C117</f>
        <v>461504.63502921211</v>
      </c>
      <c r="M99" s="324">
        <f t="shared" si="8"/>
        <v>24813423.087619305</v>
      </c>
      <c r="N99" s="295">
        <f t="shared" si="9"/>
        <v>548631.42095263675</v>
      </c>
      <c r="O99" s="296">
        <f t="shared" si="10"/>
        <v>2.2610184686081995E-2</v>
      </c>
      <c r="P99"/>
    </row>
    <row r="100" spans="1:16" x14ac:dyDescent="0.2">
      <c r="A100" s="321">
        <v>41671</v>
      </c>
      <c r="B100" s="163">
        <v>20828400.000000004</v>
      </c>
      <c r="C100" s="163">
        <v>6455879.2321999995</v>
      </c>
      <c r="D100" s="328">
        <f>'Weather Analysis'!U9</f>
        <v>674.19999999999982</v>
      </c>
      <c r="E100" s="328">
        <f>'Weather Analysis'!U29</f>
        <v>0</v>
      </c>
      <c r="F100" s="323">
        <v>28</v>
      </c>
      <c r="G100" s="324">
        <v>0</v>
      </c>
      <c r="H100" s="329">
        <v>147.36914202996238</v>
      </c>
      <c r="I100" s="324">
        <v>98</v>
      </c>
      <c r="J100" s="326">
        <f t="shared" si="13"/>
        <v>14287.166666666672</v>
      </c>
      <c r="K100" s="330">
        <v>304</v>
      </c>
      <c r="L100" s="322">
        <f>'CDM Activity'!C118</f>
        <v>457446.96061922476</v>
      </c>
      <c r="M100" s="324">
        <f t="shared" si="8"/>
        <v>22333310.690154113</v>
      </c>
      <c r="N100" s="295">
        <f t="shared" si="9"/>
        <v>1504910.6901541092</v>
      </c>
      <c r="O100" s="296">
        <f t="shared" si="10"/>
        <v>7.2252822595787913E-2</v>
      </c>
      <c r="P100"/>
    </row>
    <row r="101" spans="1:16" x14ac:dyDescent="0.2">
      <c r="A101" s="321">
        <v>41699</v>
      </c>
      <c r="B101" s="163">
        <v>21052908.333333336</v>
      </c>
      <c r="C101" s="163">
        <v>5377054.6365999999</v>
      </c>
      <c r="D101" s="328">
        <f>'Weather Analysis'!U10</f>
        <v>591.90000000000009</v>
      </c>
      <c r="E101" s="328">
        <f>'Weather Analysis'!U30</f>
        <v>0</v>
      </c>
      <c r="F101" s="323">
        <v>31</v>
      </c>
      <c r="G101" s="324">
        <v>1</v>
      </c>
      <c r="H101" s="329">
        <v>147.69668870738414</v>
      </c>
      <c r="I101" s="324">
        <v>99</v>
      </c>
      <c r="J101" s="326">
        <f t="shared" si="13"/>
        <v>14294.500000000005</v>
      </c>
      <c r="K101" s="330">
        <v>336</v>
      </c>
      <c r="L101" s="322">
        <f>'CDM Activity'!C119</f>
        <v>453389.28620923741</v>
      </c>
      <c r="M101" s="324">
        <f t="shared" si="8"/>
        <v>22156540.23726001</v>
      </c>
      <c r="N101" s="295">
        <f t="shared" si="9"/>
        <v>1103631.9039266743</v>
      </c>
      <c r="O101" s="296">
        <f t="shared" si="10"/>
        <v>5.242182630792535E-2</v>
      </c>
      <c r="P101"/>
    </row>
    <row r="102" spans="1:16" x14ac:dyDescent="0.2">
      <c r="A102" s="321">
        <v>41730</v>
      </c>
      <c r="B102" s="163">
        <v>17638016.666666668</v>
      </c>
      <c r="C102" s="163">
        <v>5351869.0661999993</v>
      </c>
      <c r="D102" s="328">
        <f>'Weather Analysis'!U11</f>
        <v>253.7</v>
      </c>
      <c r="E102" s="328">
        <f>'Weather Analysis'!U31</f>
        <v>0</v>
      </c>
      <c r="F102" s="323">
        <v>30</v>
      </c>
      <c r="G102" s="324">
        <v>1</v>
      </c>
      <c r="H102" s="329">
        <v>148.02496339899133</v>
      </c>
      <c r="I102" s="324">
        <v>100</v>
      </c>
      <c r="J102" s="326">
        <f t="shared" si="13"/>
        <v>14301.833333333339</v>
      </c>
      <c r="K102" s="330">
        <v>320</v>
      </c>
      <c r="L102" s="322">
        <f>'CDM Activity'!C120</f>
        <v>449331.61179925007</v>
      </c>
      <c r="M102" s="324">
        <f t="shared" si="8"/>
        <v>18795220.644346047</v>
      </c>
      <c r="N102" s="295">
        <f t="shared" si="9"/>
        <v>1157203.9776793793</v>
      </c>
      <c r="O102" s="296">
        <f t="shared" si="10"/>
        <v>6.5608509139597856E-2</v>
      </c>
      <c r="P102"/>
    </row>
    <row r="103" spans="1:16" x14ac:dyDescent="0.2">
      <c r="A103" s="321">
        <v>41760</v>
      </c>
      <c r="B103" s="163">
        <v>18077492.307692308</v>
      </c>
      <c r="C103" s="163">
        <v>4037600.5085999994</v>
      </c>
      <c r="D103" s="328">
        <f>'Weather Analysis'!U12</f>
        <v>90.600000000000009</v>
      </c>
      <c r="E103" s="328">
        <f>'Weather Analysis'!U32</f>
        <v>36.4</v>
      </c>
      <c r="F103" s="323">
        <v>31</v>
      </c>
      <c r="G103" s="324">
        <v>1</v>
      </c>
      <c r="H103" s="329">
        <v>148.35396772288814</v>
      </c>
      <c r="I103" s="324">
        <v>101</v>
      </c>
      <c r="J103" s="326">
        <f t="shared" si="13"/>
        <v>14309.166666666673</v>
      </c>
      <c r="K103" s="330">
        <v>336</v>
      </c>
      <c r="L103" s="322">
        <f>'CDM Activity'!C121</f>
        <v>445273.93738926272</v>
      </c>
      <c r="M103" s="324">
        <f t="shared" si="8"/>
        <v>18973302.875509515</v>
      </c>
      <c r="N103" s="295">
        <f t="shared" si="9"/>
        <v>895810.56781720743</v>
      </c>
      <c r="O103" s="296">
        <f t="shared" si="10"/>
        <v>4.9553917798433988E-2</v>
      </c>
      <c r="P103"/>
    </row>
    <row r="104" spans="1:16" x14ac:dyDescent="0.2">
      <c r="A104" s="321">
        <v>41791</v>
      </c>
      <c r="B104" s="163">
        <v>21714569.230769232</v>
      </c>
      <c r="C104" s="163">
        <v>3793711.3421999998</v>
      </c>
      <c r="D104" s="328">
        <f>'Weather Analysis'!U13</f>
        <v>2.4000000000000004</v>
      </c>
      <c r="E104" s="328">
        <f>'Weather Analysis'!U33</f>
        <v>123.29999999999997</v>
      </c>
      <c r="F104" s="323">
        <v>30</v>
      </c>
      <c r="G104" s="324">
        <v>0</v>
      </c>
      <c r="H104" s="329">
        <v>148.68370330077519</v>
      </c>
      <c r="I104" s="324">
        <v>102</v>
      </c>
      <c r="J104" s="333">
        <f>'Rate Class Customer Model'!I12</f>
        <v>14316.5</v>
      </c>
      <c r="K104" s="330">
        <v>336</v>
      </c>
      <c r="L104" s="322">
        <f>'CDM Activity'!C122</f>
        <v>441216.26297927537</v>
      </c>
      <c r="M104" s="324">
        <f t="shared" si="8"/>
        <v>22163381.464427833</v>
      </c>
      <c r="N104" s="295">
        <f t="shared" si="9"/>
        <v>448812.2336586006</v>
      </c>
      <c r="O104" s="296">
        <f t="shared" si="10"/>
        <v>2.0668714580008345E-2</v>
      </c>
      <c r="P104"/>
    </row>
    <row r="105" spans="1:16" x14ac:dyDescent="0.2">
      <c r="A105" s="321">
        <v>41821</v>
      </c>
      <c r="B105" s="163">
        <v>22619392.307692308</v>
      </c>
      <c r="C105" s="163">
        <v>4326643.2611999996</v>
      </c>
      <c r="D105" s="328">
        <f>'Weather Analysis'!U14</f>
        <v>0.7</v>
      </c>
      <c r="E105" s="328">
        <f>'Weather Analysis'!U34</f>
        <v>113.59999999999997</v>
      </c>
      <c r="F105" s="323">
        <v>31</v>
      </c>
      <c r="G105" s="324">
        <v>0</v>
      </c>
      <c r="H105" s="329">
        <v>149.0141717579576</v>
      </c>
      <c r="I105" s="324">
        <v>103</v>
      </c>
      <c r="J105" s="326">
        <f t="shared" ref="J105:J115" si="14">($J$116-$J$104)/12+J104</f>
        <v>14323.333333333334</v>
      </c>
      <c r="K105" s="330">
        <v>352</v>
      </c>
      <c r="L105" s="322">
        <f>'CDM Activity'!C123</f>
        <v>437158.58856928803</v>
      </c>
      <c r="M105" s="324">
        <f t="shared" si="8"/>
        <v>22696720.136204723</v>
      </c>
      <c r="N105" s="295">
        <f t="shared" si="9"/>
        <v>77327.82851241529</v>
      </c>
      <c r="O105" s="296">
        <f t="shared" si="10"/>
        <v>3.4186519010114152E-3</v>
      </c>
      <c r="P105"/>
    </row>
    <row r="106" spans="1:16" x14ac:dyDescent="0.2">
      <c r="A106" s="321">
        <v>41852</v>
      </c>
      <c r="B106" s="163">
        <v>23222976.923076924</v>
      </c>
      <c r="C106" s="163">
        <v>4518340.0180000002</v>
      </c>
      <c r="D106" s="328">
        <f>'Weather Analysis'!U15</f>
        <v>0.7</v>
      </c>
      <c r="E106" s="328">
        <f>'Weather Analysis'!U35</f>
        <v>118.09999999999997</v>
      </c>
      <c r="F106" s="323">
        <v>31</v>
      </c>
      <c r="G106" s="324">
        <v>0</v>
      </c>
      <c r="H106" s="329">
        <v>149.34537472335285</v>
      </c>
      <c r="I106" s="324">
        <v>104</v>
      </c>
      <c r="J106" s="326">
        <f t="shared" si="14"/>
        <v>14330.166666666668</v>
      </c>
      <c r="K106" s="330">
        <v>320</v>
      </c>
      <c r="L106" s="322">
        <f>'CDM Activity'!C124</f>
        <v>433100.91415930068</v>
      </c>
      <c r="M106" s="324">
        <f t="shared" si="8"/>
        <v>23012912.125192516</v>
      </c>
      <c r="N106" s="295">
        <f t="shared" si="9"/>
        <v>-210064.79788440838</v>
      </c>
      <c r="O106" s="296">
        <f t="shared" si="10"/>
        <v>9.0455585681465632E-3</v>
      </c>
      <c r="P106"/>
    </row>
    <row r="107" spans="1:16" x14ac:dyDescent="0.2">
      <c r="A107" s="321">
        <v>41883</v>
      </c>
      <c r="B107" s="163">
        <v>19789369.230769232</v>
      </c>
      <c r="C107" s="163">
        <v>4651478.6804999998</v>
      </c>
      <c r="D107" s="328">
        <f>'Weather Analysis'!U16</f>
        <v>57.20000000000001</v>
      </c>
      <c r="E107" s="328">
        <f>'Weather Analysis'!U36</f>
        <v>50.499999999999979</v>
      </c>
      <c r="F107" s="323">
        <v>30</v>
      </c>
      <c r="G107" s="324">
        <v>1</v>
      </c>
      <c r="H107" s="329">
        <v>149.67731382949896</v>
      </c>
      <c r="I107" s="324">
        <v>105</v>
      </c>
      <c r="J107" s="326">
        <f t="shared" si="14"/>
        <v>14337.000000000002</v>
      </c>
      <c r="K107" s="330">
        <v>336</v>
      </c>
      <c r="L107" s="322">
        <f>'CDM Activity'!C125</f>
        <v>429043.23974931333</v>
      </c>
      <c r="M107" s="324">
        <f t="shared" si="8"/>
        <v>19051381.044052456</v>
      </c>
      <c r="N107" s="295">
        <f t="shared" si="9"/>
        <v>-737988.18671677634</v>
      </c>
      <c r="O107" s="296">
        <f t="shared" si="10"/>
        <v>3.7292153080317761E-2</v>
      </c>
      <c r="P107"/>
    </row>
    <row r="108" spans="1:16" x14ac:dyDescent="0.2">
      <c r="A108" s="321">
        <v>41913</v>
      </c>
      <c r="B108" s="163">
        <v>18224553.846153844</v>
      </c>
      <c r="C108" s="163">
        <v>3859455.1677999995</v>
      </c>
      <c r="D108" s="328">
        <f>'Weather Analysis'!U17</f>
        <v>179.7</v>
      </c>
      <c r="E108" s="328">
        <f>'Weather Analysis'!U37</f>
        <v>3.9</v>
      </c>
      <c r="F108" s="323">
        <v>31</v>
      </c>
      <c r="G108" s="324">
        <v>1</v>
      </c>
      <c r="H108" s="329">
        <v>150.00999071256246</v>
      </c>
      <c r="I108" s="324">
        <v>106</v>
      </c>
      <c r="J108" s="326">
        <f t="shared" si="14"/>
        <v>14343.833333333336</v>
      </c>
      <c r="K108" s="330">
        <v>352</v>
      </c>
      <c r="L108" s="322">
        <f>'CDM Activity'!C126</f>
        <v>424985.56533932599</v>
      </c>
      <c r="M108" s="324">
        <f t="shared" si="8"/>
        <v>18129939.530272849</v>
      </c>
      <c r="N108" s="295">
        <f t="shared" si="9"/>
        <v>-94614.315880995244</v>
      </c>
      <c r="O108" s="296">
        <f t="shared" si="10"/>
        <v>5.1915847531687521E-3</v>
      </c>
      <c r="P108"/>
    </row>
    <row r="109" spans="1:16" x14ac:dyDescent="0.2">
      <c r="A109" s="321">
        <v>41944</v>
      </c>
      <c r="B109" s="163">
        <v>20282892.307692308</v>
      </c>
      <c r="C109" s="163">
        <v>3693169.9103999999</v>
      </c>
      <c r="D109" s="328">
        <f>'Weather Analysis'!U18</f>
        <v>442</v>
      </c>
      <c r="E109" s="328">
        <f>'Weather Analysis'!U38</f>
        <v>0</v>
      </c>
      <c r="F109" s="323">
        <v>30</v>
      </c>
      <c r="G109" s="324">
        <v>1</v>
      </c>
      <c r="H109" s="329">
        <v>150.34340701234646</v>
      </c>
      <c r="I109" s="324">
        <v>107</v>
      </c>
      <c r="J109" s="326">
        <f t="shared" si="14"/>
        <v>14350.66666666667</v>
      </c>
      <c r="K109" s="330">
        <v>304</v>
      </c>
      <c r="L109" s="322">
        <f>'CDM Activity'!C127</f>
        <v>420927.89092933864</v>
      </c>
      <c r="M109" s="324">
        <f t="shared" si="8"/>
        <v>19288107.228348143</v>
      </c>
      <c r="N109" s="295">
        <f t="shared" si="9"/>
        <v>-994785.07934416458</v>
      </c>
      <c r="O109" s="296">
        <f t="shared" si="10"/>
        <v>4.9045523895371236E-2</v>
      </c>
      <c r="P109"/>
    </row>
    <row r="110" spans="1:16" x14ac:dyDescent="0.2">
      <c r="A110" s="321">
        <v>41974</v>
      </c>
      <c r="B110" s="163">
        <v>22057292.307692308</v>
      </c>
      <c r="C110" s="163">
        <v>4458615.4165999992</v>
      </c>
      <c r="D110" s="328">
        <f>'Weather Analysis'!U19</f>
        <v>463.40000000000003</v>
      </c>
      <c r="E110" s="328">
        <f>'Weather Analysis'!U39</f>
        <v>0</v>
      </c>
      <c r="F110" s="323">
        <v>31</v>
      </c>
      <c r="G110" s="324">
        <v>0</v>
      </c>
      <c r="H110" s="329">
        <v>150.67756437229883</v>
      </c>
      <c r="I110" s="324">
        <v>108</v>
      </c>
      <c r="J110" s="326">
        <f t="shared" si="14"/>
        <v>14357.500000000004</v>
      </c>
      <c r="K110" s="330">
        <v>336</v>
      </c>
      <c r="L110" s="322">
        <f>'CDM Activity'!C128</f>
        <v>416870.21651935129</v>
      </c>
      <c r="M110" s="324">
        <f t="shared" si="8"/>
        <v>21409925.974501718</v>
      </c>
      <c r="N110" s="295">
        <f t="shared" si="9"/>
        <v>-647366.33319059014</v>
      </c>
      <c r="O110" s="296">
        <f t="shared" si="10"/>
        <v>2.9349311065022528E-2</v>
      </c>
      <c r="P110"/>
    </row>
    <row r="111" spans="1:16" x14ac:dyDescent="0.2">
      <c r="A111" s="321">
        <v>42005</v>
      </c>
      <c r="B111" s="163">
        <v>24198407.692307692</v>
      </c>
      <c r="C111" s="163">
        <v>4837546.0217000004</v>
      </c>
      <c r="D111" s="328">
        <f>'Weather Analysis'!V8</f>
        <v>752.2</v>
      </c>
      <c r="E111" s="328">
        <f>'Weather Analysis'!V28</f>
        <v>0</v>
      </c>
      <c r="F111" s="332">
        <v>31</v>
      </c>
      <c r="G111" s="324">
        <v>0</v>
      </c>
      <c r="H111" s="329">
        <v>150.98793548444445</v>
      </c>
      <c r="I111" s="324">
        <v>109</v>
      </c>
      <c r="J111" s="326">
        <f t="shared" si="14"/>
        <v>14364.333333333338</v>
      </c>
      <c r="K111" s="330">
        <v>336</v>
      </c>
      <c r="L111" s="322">
        <f>'CDM Activity'!C129</f>
        <v>425342.71821790445</v>
      </c>
      <c r="M111" s="324">
        <f t="shared" si="8"/>
        <v>23937686.430791639</v>
      </c>
      <c r="N111" s="295">
        <f t="shared" si="9"/>
        <v>-260721.26151605323</v>
      </c>
      <c r="O111" s="296">
        <f t="shared" si="10"/>
        <v>1.077431477439454E-2</v>
      </c>
      <c r="P111"/>
    </row>
    <row r="112" spans="1:16" x14ac:dyDescent="0.2">
      <c r="A112" s="321">
        <v>42036</v>
      </c>
      <c r="B112" s="163">
        <v>22363023.07692308</v>
      </c>
      <c r="C112" s="163">
        <v>5406885.3720999993</v>
      </c>
      <c r="D112" s="328">
        <f>'Weather Analysis'!V9</f>
        <v>811.10000000000014</v>
      </c>
      <c r="E112" s="328">
        <f>'Weather Analysis'!V29</f>
        <v>0</v>
      </c>
      <c r="F112" s="332">
        <v>28</v>
      </c>
      <c r="G112" s="324">
        <v>0</v>
      </c>
      <c r="H112" s="329">
        <v>151.298945910264</v>
      </c>
      <c r="I112" s="324">
        <v>110</v>
      </c>
      <c r="J112" s="326">
        <f t="shared" si="14"/>
        <v>14371.166666666672</v>
      </c>
      <c r="K112" s="330">
        <v>304</v>
      </c>
      <c r="L112" s="322">
        <f>'CDM Activity'!C130</f>
        <v>433815.2199164576</v>
      </c>
      <c r="M112" s="324">
        <f t="shared" si="8"/>
        <v>22786783.761846565</v>
      </c>
      <c r="N112" s="295">
        <f t="shared" si="9"/>
        <v>423760.68492348492</v>
      </c>
      <c r="O112" s="296">
        <f t="shared" si="10"/>
        <v>1.8949168163260241E-2</v>
      </c>
      <c r="P112"/>
    </row>
    <row r="113" spans="1:18" x14ac:dyDescent="0.2">
      <c r="A113" s="321">
        <v>42064</v>
      </c>
      <c r="B113" s="163">
        <v>20856446.153846156</v>
      </c>
      <c r="C113" s="163">
        <v>5070655.2399000004</v>
      </c>
      <c r="D113" s="328">
        <f>'Weather Analysis'!V10</f>
        <v>565.29999999999995</v>
      </c>
      <c r="E113" s="328">
        <f>'Weather Analysis'!V30</f>
        <v>0</v>
      </c>
      <c r="F113" s="332">
        <v>31</v>
      </c>
      <c r="G113" s="324">
        <v>1</v>
      </c>
      <c r="H113" s="329">
        <v>151.61059696663892</v>
      </c>
      <c r="I113" s="324">
        <v>111</v>
      </c>
      <c r="J113" s="326">
        <f t="shared" si="14"/>
        <v>14378.000000000005</v>
      </c>
      <c r="K113" s="330">
        <v>352</v>
      </c>
      <c r="L113" s="322">
        <f>'CDM Activity'!C131</f>
        <v>442287.72161501076</v>
      </c>
      <c r="M113" s="324">
        <f t="shared" si="8"/>
        <v>21759143.947396345</v>
      </c>
      <c r="N113" s="295">
        <f t="shared" si="9"/>
        <v>902697.79355018958</v>
      </c>
      <c r="O113" s="296">
        <f t="shared" si="10"/>
        <v>4.3281476954007442E-2</v>
      </c>
      <c r="P113"/>
    </row>
    <row r="114" spans="1:18" x14ac:dyDescent="0.2">
      <c r="A114" s="321">
        <v>42095</v>
      </c>
      <c r="B114" s="163">
        <v>17544146.153846156</v>
      </c>
      <c r="C114" s="163">
        <v>4477583.7236000001</v>
      </c>
      <c r="D114" s="328">
        <f>'Weather Analysis'!V11</f>
        <v>283.2</v>
      </c>
      <c r="E114" s="328">
        <f>'Weather Analysis'!V31</f>
        <v>0</v>
      </c>
      <c r="F114" s="332">
        <v>30</v>
      </c>
      <c r="G114" s="324">
        <v>1</v>
      </c>
      <c r="H114" s="329">
        <v>151.92288997316331</v>
      </c>
      <c r="I114" s="324">
        <v>112</v>
      </c>
      <c r="J114" s="326">
        <f t="shared" si="14"/>
        <v>14384.833333333339</v>
      </c>
      <c r="K114" s="330">
        <v>336</v>
      </c>
      <c r="L114" s="322">
        <f>'CDM Activity'!C132</f>
        <v>450760.22331356391</v>
      </c>
      <c r="M114" s="324">
        <f t="shared" si="8"/>
        <v>18499987.055725668</v>
      </c>
      <c r="N114" s="295">
        <f t="shared" si="9"/>
        <v>955840.90187951177</v>
      </c>
      <c r="O114" s="296">
        <f t="shared" si="10"/>
        <v>5.4482041673482376E-2</v>
      </c>
      <c r="P114"/>
    </row>
    <row r="115" spans="1:18" x14ac:dyDescent="0.2">
      <c r="A115" s="321">
        <v>42125</v>
      </c>
      <c r="B115" s="163">
        <v>17949553.846153844</v>
      </c>
      <c r="C115" s="163">
        <v>3596673.5806000005</v>
      </c>
      <c r="D115" s="328">
        <f>'Weather Analysis'!V12</f>
        <v>79.599999999999994</v>
      </c>
      <c r="E115" s="328">
        <f>'Weather Analysis'!V32</f>
        <v>41.1</v>
      </c>
      <c r="F115" s="323">
        <v>31</v>
      </c>
      <c r="G115" s="324">
        <v>1</v>
      </c>
      <c r="H115" s="329">
        <v>152.23582625214937</v>
      </c>
      <c r="I115" s="324">
        <v>113</v>
      </c>
      <c r="J115" s="326">
        <f t="shared" si="14"/>
        <v>14391.666666666673</v>
      </c>
      <c r="K115" s="330">
        <v>320</v>
      </c>
      <c r="L115" s="322">
        <f>'CDM Activity'!C133</f>
        <v>459232.72501211707</v>
      </c>
      <c r="M115" s="324">
        <f t="shared" si="8"/>
        <v>18827370.249736007</v>
      </c>
      <c r="N115" s="295">
        <f t="shared" si="9"/>
        <v>877816.40358216316</v>
      </c>
      <c r="O115" s="296">
        <f t="shared" si="10"/>
        <v>4.890463635508456E-2</v>
      </c>
      <c r="P115"/>
    </row>
    <row r="116" spans="1:18" x14ac:dyDescent="0.2">
      <c r="A116" s="321">
        <v>42156</v>
      </c>
      <c r="B116" s="163">
        <v>20138192.307692308</v>
      </c>
      <c r="C116" s="163">
        <v>3482875.7376999999</v>
      </c>
      <c r="D116" s="328">
        <f>'Weather Analysis'!V13</f>
        <v>18.899999999999999</v>
      </c>
      <c r="E116" s="328">
        <f>'Weather Analysis'!V33</f>
        <v>63.900000000000006</v>
      </c>
      <c r="F116" s="323">
        <v>30</v>
      </c>
      <c r="G116" s="324">
        <v>0</v>
      </c>
      <c r="H116" s="329">
        <v>152.54940712863302</v>
      </c>
      <c r="I116" s="324">
        <v>114</v>
      </c>
      <c r="J116" s="333">
        <f>'Rate Class Customer Model'!I13</f>
        <v>14398.5</v>
      </c>
      <c r="K116" s="330">
        <v>352</v>
      </c>
      <c r="L116" s="322">
        <f>'CDM Activity'!C134</f>
        <v>467705.22671067022</v>
      </c>
      <c r="M116" s="324">
        <f t="shared" si="8"/>
        <v>19466393.252610222</v>
      </c>
      <c r="N116" s="295">
        <f t="shared" si="9"/>
        <v>-671799.05508208647</v>
      </c>
      <c r="O116" s="296">
        <f t="shared" si="10"/>
        <v>3.3359451772911879E-2</v>
      </c>
      <c r="P116"/>
    </row>
    <row r="117" spans="1:18" x14ac:dyDescent="0.2">
      <c r="A117" s="321">
        <v>42186</v>
      </c>
      <c r="B117" s="163">
        <v>23747715.384615384</v>
      </c>
      <c r="C117" s="163">
        <v>3939319.1234999998</v>
      </c>
      <c r="D117" s="328">
        <f>'Weather Analysis'!V14</f>
        <v>2.9000000000000004</v>
      </c>
      <c r="E117" s="328">
        <f>'Weather Analysis'!V34</f>
        <v>120.50000000000001</v>
      </c>
      <c r="F117" s="323">
        <v>31</v>
      </c>
      <c r="G117" s="324">
        <v>0</v>
      </c>
      <c r="H117" s="329">
        <v>152.86363393037959</v>
      </c>
      <c r="I117" s="324">
        <v>115</v>
      </c>
      <c r="J117" s="326">
        <f t="shared" ref="J117:J127" si="15">($J$128-$J$116)/12+J116</f>
        <v>14406.846970233795</v>
      </c>
      <c r="K117" s="330">
        <v>352</v>
      </c>
      <c r="L117" s="322">
        <f>'CDM Activity'!C135</f>
        <v>476177.72840922337</v>
      </c>
      <c r="M117" s="324">
        <f t="shared" si="8"/>
        <v>22786089.041800432</v>
      </c>
      <c r="N117" s="295">
        <f t="shared" si="9"/>
        <v>-961626.34281495214</v>
      </c>
      <c r="O117" s="296">
        <f t="shared" si="10"/>
        <v>4.0493425461799494E-2</v>
      </c>
      <c r="P117"/>
    </row>
    <row r="118" spans="1:18" x14ac:dyDescent="0.2">
      <c r="A118" s="321">
        <v>42217</v>
      </c>
      <c r="B118" s="163">
        <v>23252784.615384616</v>
      </c>
      <c r="C118" s="163">
        <v>4864445.517599999</v>
      </c>
      <c r="D118" s="328">
        <f>'Weather Analysis'!V15</f>
        <v>8.5</v>
      </c>
      <c r="E118" s="328">
        <f>'Weather Analysis'!V35</f>
        <v>102.79999999999998</v>
      </c>
      <c r="F118" s="323">
        <v>31</v>
      </c>
      <c r="G118" s="324">
        <v>0</v>
      </c>
      <c r="H118" s="329">
        <v>153.17850798788936</v>
      </c>
      <c r="I118" s="324">
        <v>116</v>
      </c>
      <c r="J118" s="326">
        <f t="shared" si="15"/>
        <v>14415.19394046759</v>
      </c>
      <c r="K118" s="330">
        <v>320</v>
      </c>
      <c r="L118" s="322">
        <f>'CDM Activity'!C136</f>
        <v>484650.23010777653</v>
      </c>
      <c r="M118" s="324">
        <f t="shared" si="8"/>
        <v>22604816.37998737</v>
      </c>
      <c r="N118" s="295">
        <f t="shared" si="9"/>
        <v>-647968.23539724573</v>
      </c>
      <c r="O118" s="296">
        <f t="shared" si="10"/>
        <v>2.7866264024504574E-2</v>
      </c>
      <c r="P118"/>
    </row>
    <row r="119" spans="1:18" x14ac:dyDescent="0.2">
      <c r="A119" s="321">
        <v>42248</v>
      </c>
      <c r="B119" s="163">
        <v>21319146.153846156</v>
      </c>
      <c r="C119" s="163">
        <v>4787983.4689000007</v>
      </c>
      <c r="D119" s="328">
        <f>'Weather Analysis'!V16</f>
        <v>23.099999999999998</v>
      </c>
      <c r="E119" s="328">
        <f>'Weather Analysis'!V36</f>
        <v>70.399999999999991</v>
      </c>
      <c r="F119" s="323">
        <v>30</v>
      </c>
      <c r="G119" s="324">
        <v>1</v>
      </c>
      <c r="H119" s="329">
        <v>153.4940306344032</v>
      </c>
      <c r="I119" s="324">
        <v>117</v>
      </c>
      <c r="J119" s="326">
        <f t="shared" si="15"/>
        <v>14423.540910701386</v>
      </c>
      <c r="K119" s="330">
        <v>336</v>
      </c>
      <c r="L119" s="322">
        <f>'CDM Activity'!C137</f>
        <v>493122.73180632968</v>
      </c>
      <c r="M119" s="324">
        <f t="shared" si="8"/>
        <v>19747182.272528607</v>
      </c>
      <c r="N119" s="295">
        <f t="shared" si="9"/>
        <v>-1571963.8813175485</v>
      </c>
      <c r="O119" s="296">
        <f t="shared" si="10"/>
        <v>7.3734842379414564E-2</v>
      </c>
      <c r="P119"/>
    </row>
    <row r="120" spans="1:18" x14ac:dyDescent="0.2">
      <c r="A120" s="321">
        <v>42278</v>
      </c>
      <c r="B120" s="163">
        <v>17917492.307692308</v>
      </c>
      <c r="C120" s="163">
        <v>4326418.4132000003</v>
      </c>
      <c r="D120" s="328">
        <f>'Weather Analysis'!V17</f>
        <v>194.50000000000003</v>
      </c>
      <c r="E120" s="328">
        <f>'Weather Analysis'!V37</f>
        <v>1</v>
      </c>
      <c r="F120" s="323">
        <v>31</v>
      </c>
      <c r="G120" s="324">
        <v>1</v>
      </c>
      <c r="H120" s="329">
        <v>153.81020320590829</v>
      </c>
      <c r="I120" s="324">
        <v>118</v>
      </c>
      <c r="J120" s="326">
        <f t="shared" si="15"/>
        <v>14431.887880935181</v>
      </c>
      <c r="K120" s="330">
        <v>336</v>
      </c>
      <c r="L120" s="322">
        <f>'CDM Activity'!C138</f>
        <v>501595.23350488284</v>
      </c>
      <c r="M120" s="324">
        <f t="shared" si="8"/>
        <v>18401888.256812908</v>
      </c>
      <c r="N120" s="295">
        <f t="shared" si="9"/>
        <v>484395.94912059978</v>
      </c>
      <c r="O120" s="296">
        <f t="shared" si="10"/>
        <v>2.7034807148355225E-2</v>
      </c>
      <c r="P120"/>
    </row>
    <row r="121" spans="1:18" x14ac:dyDescent="0.2">
      <c r="A121" s="321">
        <v>42309</v>
      </c>
      <c r="B121" s="163">
        <v>18378200</v>
      </c>
      <c r="C121" s="163">
        <v>3680115.9922199999</v>
      </c>
      <c r="D121" s="328">
        <f>'Weather Analysis'!V18</f>
        <v>325.2</v>
      </c>
      <c r="E121" s="328">
        <f>'Weather Analysis'!V38</f>
        <v>0</v>
      </c>
      <c r="F121" s="323">
        <v>30</v>
      </c>
      <c r="G121" s="324">
        <v>1</v>
      </c>
      <c r="H121" s="329">
        <v>154.12702704114372</v>
      </c>
      <c r="I121" s="324">
        <v>119</v>
      </c>
      <c r="J121" s="326">
        <f t="shared" si="15"/>
        <v>14440.234851168976</v>
      </c>
      <c r="K121" s="330">
        <v>320</v>
      </c>
      <c r="L121" s="322">
        <f>'CDM Activity'!C139</f>
        <v>510067.73520343599</v>
      </c>
      <c r="M121" s="324">
        <f t="shared" si="8"/>
        <v>18350784.596260887</v>
      </c>
      <c r="N121" s="295">
        <f t="shared" si="9"/>
        <v>-27415.403739113361</v>
      </c>
      <c r="O121" s="296">
        <f t="shared" si="10"/>
        <v>1.491734976173584E-3</v>
      </c>
      <c r="P121"/>
    </row>
    <row r="122" spans="1:18" x14ac:dyDescent="0.2">
      <c r="A122" s="321">
        <v>42339</v>
      </c>
      <c r="B122" s="163">
        <v>20053746.153846152</v>
      </c>
      <c r="C122" s="163">
        <v>3626360.0458399998</v>
      </c>
      <c r="D122" s="328">
        <f>'Weather Analysis'!V19</f>
        <v>417.30000000000007</v>
      </c>
      <c r="E122" s="328">
        <f>'Weather Analysis'!V39</f>
        <v>0</v>
      </c>
      <c r="F122" s="323">
        <v>31</v>
      </c>
      <c r="G122" s="324">
        <v>0</v>
      </c>
      <c r="H122" s="329">
        <v>154.44450348160629</v>
      </c>
      <c r="I122" s="324">
        <v>120</v>
      </c>
      <c r="J122" s="326">
        <f t="shared" si="15"/>
        <v>14448.581821402771</v>
      </c>
      <c r="K122" s="330">
        <v>352</v>
      </c>
      <c r="L122" s="322">
        <f>'CDM Activity'!C140</f>
        <v>518540.23690198915</v>
      </c>
      <c r="M122" s="324">
        <f t="shared" si="8"/>
        <v>20538600.13252512</v>
      </c>
      <c r="N122" s="295">
        <f t="shared" si="9"/>
        <v>484853.9786789678</v>
      </c>
      <c r="O122" s="296">
        <f t="shared" si="10"/>
        <v>2.4177725945033795E-2</v>
      </c>
      <c r="P122"/>
    </row>
    <row r="123" spans="1:18" x14ac:dyDescent="0.2">
      <c r="A123" s="321">
        <v>42370</v>
      </c>
      <c r="B123" s="331"/>
      <c r="C123" s="331">
        <f>'Rate Class Energy Model'!$N$54/'Rate Class Energy Model'!$N$16*'Purchased Power Model '!C111</f>
        <v>4681967.8416601736</v>
      </c>
      <c r="D123" s="328">
        <f>'Weather Analysis'!W8</f>
        <v>665.55</v>
      </c>
      <c r="E123" s="328">
        <f>'Weather Analysis'!W28</f>
        <v>0</v>
      </c>
      <c r="F123" s="323">
        <v>31</v>
      </c>
      <c r="G123" s="324">
        <v>0</v>
      </c>
      <c r="H123" s="329">
        <v>154.72483615659849</v>
      </c>
      <c r="I123" s="324">
        <v>121</v>
      </c>
      <c r="J123" s="326">
        <f t="shared" si="15"/>
        <v>14456.928791636567</v>
      </c>
      <c r="K123" s="330">
        <v>320</v>
      </c>
      <c r="L123" s="322">
        <f>'CDM Activity'!C141</f>
        <v>509844.64212260727</v>
      </c>
      <c r="M123" s="324">
        <f t="shared" si="8"/>
        <v>23153880.439535402</v>
      </c>
      <c r="N123" s="1"/>
      <c r="O123" s="5">
        <f>AVERAGE(O3:O122)</f>
        <v>3.3616336977810191E-2</v>
      </c>
      <c r="P123"/>
    </row>
    <row r="124" spans="1:18" x14ac:dyDescent="0.2">
      <c r="A124" s="321">
        <v>42401</v>
      </c>
      <c r="B124" s="331"/>
      <c r="C124" s="331">
        <f>'Rate Class Energy Model'!$N$54/'Rate Class Energy Model'!$N$16*'Purchased Power Model '!C112</f>
        <v>5232996.9207856543</v>
      </c>
      <c r="D124" s="328">
        <f>'Weather Analysis'!W9</f>
        <v>619.5</v>
      </c>
      <c r="E124" s="328">
        <f>'Weather Analysis'!W29</f>
        <v>0</v>
      </c>
      <c r="F124" s="323">
        <v>29</v>
      </c>
      <c r="G124" s="324">
        <v>0</v>
      </c>
      <c r="H124" s="329">
        <v>155.00567766425806</v>
      </c>
      <c r="I124" s="324">
        <v>122</v>
      </c>
      <c r="J124" s="326">
        <f t="shared" si="15"/>
        <v>14465.275761870362</v>
      </c>
      <c r="K124" s="330">
        <v>320</v>
      </c>
      <c r="L124" s="322">
        <f>'CDM Activity'!C142</f>
        <v>501149.04734322539</v>
      </c>
      <c r="M124" s="324">
        <f t="shared" si="8"/>
        <v>21811665.055347823</v>
      </c>
      <c r="N124" s="1"/>
      <c r="O124" s="115"/>
      <c r="P124"/>
      <c r="Q124" s="64"/>
      <c r="R124" s="64"/>
    </row>
    <row r="125" spans="1:18" x14ac:dyDescent="0.2">
      <c r="A125" s="321">
        <v>42430</v>
      </c>
      <c r="B125" s="331"/>
      <c r="C125" s="331">
        <f>'Rate Class Energy Model'!$N$54/'Rate Class Energy Model'!$N$16*'Purchased Power Model '!C113</f>
        <v>4907580.1372974981</v>
      </c>
      <c r="D125" s="328">
        <f>'Weather Analysis'!W10</f>
        <v>476.25000000000011</v>
      </c>
      <c r="E125" s="328">
        <f>'Weather Analysis'!W30</f>
        <v>0.6100000000000001</v>
      </c>
      <c r="F125" s="323">
        <v>31</v>
      </c>
      <c r="G125" s="324">
        <v>1</v>
      </c>
      <c r="H125" s="329">
        <v>155.2870289281687</v>
      </c>
      <c r="I125" s="324">
        <v>123</v>
      </c>
      <c r="J125" s="326">
        <f t="shared" si="15"/>
        <v>14473.622732104157</v>
      </c>
      <c r="K125" s="330">
        <v>352</v>
      </c>
      <c r="L125" s="322">
        <f>'CDM Activity'!C143</f>
        <v>492453.45256384352</v>
      </c>
      <c r="M125" s="324">
        <f t="shared" si="8"/>
        <v>20978805.709913377</v>
      </c>
      <c r="N125" s="1"/>
      <c r="O125" s="115"/>
      <c r="P125"/>
    </row>
    <row r="126" spans="1:18" x14ac:dyDescent="0.2">
      <c r="A126" s="321">
        <v>42461</v>
      </c>
      <c r="B126" s="331"/>
      <c r="C126" s="331">
        <f>'Rate Class Energy Model'!$N$54/'Rate Class Energy Model'!$N$16*'Purchased Power Model '!C114</f>
        <v>4333582.1319730049</v>
      </c>
      <c r="D126" s="328">
        <f>'Weather Analysis'!W11</f>
        <v>258.87</v>
      </c>
      <c r="E126" s="328">
        <f>'Weather Analysis'!W31</f>
        <v>1.67</v>
      </c>
      <c r="F126" s="323">
        <v>30</v>
      </c>
      <c r="G126" s="324">
        <v>1</v>
      </c>
      <c r="H126" s="329">
        <v>155.56889087359048</v>
      </c>
      <c r="I126" s="324">
        <v>124</v>
      </c>
      <c r="J126" s="326">
        <f t="shared" si="15"/>
        <v>14481.969702337952</v>
      </c>
      <c r="K126" s="330">
        <v>336</v>
      </c>
      <c r="L126" s="322">
        <f>'CDM Activity'!C144</f>
        <v>483757.85778446164</v>
      </c>
      <c r="M126" s="324">
        <f t="shared" si="8"/>
        <v>18293314.196059573</v>
      </c>
      <c r="N126" s="1"/>
      <c r="O126" s="115"/>
      <c r="P126"/>
    </row>
    <row r="127" spans="1:18" x14ac:dyDescent="0.2">
      <c r="A127" s="321">
        <v>42491</v>
      </c>
      <c r="B127" s="331"/>
      <c r="C127" s="331">
        <f>'Rate Class Energy Model'!$N$54/'Rate Class Energy Model'!$N$16*'Purchased Power Model '!C115</f>
        <v>3481002.5508346991</v>
      </c>
      <c r="D127" s="328">
        <f>'Weather Analysis'!W12</f>
        <v>92.039999999999992</v>
      </c>
      <c r="E127" s="328">
        <f>'Weather Analysis'!W32</f>
        <v>37.67</v>
      </c>
      <c r="F127" s="323">
        <v>31</v>
      </c>
      <c r="G127" s="324">
        <v>1</v>
      </c>
      <c r="H127" s="329">
        <v>155.85126442746289</v>
      </c>
      <c r="I127" s="324">
        <v>125</v>
      </c>
      <c r="J127" s="326">
        <f t="shared" si="15"/>
        <v>14490.316672571747</v>
      </c>
      <c r="K127" s="330">
        <v>336</v>
      </c>
      <c r="L127" s="322">
        <f>'CDM Activity'!C145</f>
        <v>475062.26300507976</v>
      </c>
      <c r="M127" s="324">
        <f t="shared" si="8"/>
        <v>18703804.987272013</v>
      </c>
      <c r="N127" s="1"/>
      <c r="O127" s="115"/>
      <c r="P127"/>
    </row>
    <row r="128" spans="1:18" x14ac:dyDescent="0.2">
      <c r="A128" s="321">
        <v>42522</v>
      </c>
      <c r="B128" s="331"/>
      <c r="C128" s="331">
        <f>'Rate Class Energy Model'!$N$54/'Rate Class Energy Model'!$N$16*'Purchased Power Model '!C116</f>
        <v>3370864.5100764087</v>
      </c>
      <c r="D128" s="328">
        <f>'Weather Analysis'!W13</f>
        <v>11.260000000000002</v>
      </c>
      <c r="E128" s="328">
        <f>'Weather Analysis'!W33</f>
        <v>104.91000000000001</v>
      </c>
      <c r="F128" s="323">
        <v>30</v>
      </c>
      <c r="G128" s="324">
        <v>0</v>
      </c>
      <c r="H128" s="329">
        <v>156.13415051840798</v>
      </c>
      <c r="I128" s="324">
        <v>126</v>
      </c>
      <c r="J128" s="333">
        <f>'Rate Class Customer Model'!I14</f>
        <v>14498.66364280555</v>
      </c>
      <c r="K128" s="330">
        <v>352</v>
      </c>
      <c r="L128" s="322">
        <f>'CDM Activity'!C146</f>
        <v>466366.66822569788</v>
      </c>
      <c r="M128" s="324">
        <f t="shared" si="8"/>
        <v>21160271.765042584</v>
      </c>
      <c r="N128" s="1"/>
      <c r="O128" s="115"/>
      <c r="P128"/>
    </row>
    <row r="129" spans="1:18" x14ac:dyDescent="0.2">
      <c r="A129" s="321">
        <v>42552</v>
      </c>
      <c r="B129" s="331"/>
      <c r="C129" s="331">
        <f>'Rate Class Energy Model'!$N$54/'Rate Class Energy Model'!$N$16*'Purchased Power Model '!C117</f>
        <v>3812628.421834108</v>
      </c>
      <c r="D129" s="328">
        <f>'Weather Analysis'!W14</f>
        <v>0.93</v>
      </c>
      <c r="E129" s="328">
        <f>'Weather Analysis'!W34</f>
        <v>168.14</v>
      </c>
      <c r="F129" s="323">
        <v>31</v>
      </c>
      <c r="G129" s="324">
        <v>0</v>
      </c>
      <c r="H129" s="329">
        <v>156.41755007673331</v>
      </c>
      <c r="I129" s="324">
        <v>127</v>
      </c>
      <c r="J129" s="326">
        <f t="shared" ref="J129:J134" si="16">($J$128-$J$116)/12+J128</f>
        <v>14507.010613039345</v>
      </c>
      <c r="K129" s="330">
        <v>320</v>
      </c>
      <c r="L129" s="322">
        <f>'CDM Activity'!C147</f>
        <v>457671.073446316</v>
      </c>
      <c r="M129" s="324">
        <f t="shared" si="8"/>
        <v>24810838.099945463</v>
      </c>
      <c r="N129" s="1"/>
      <c r="O129" s="115"/>
      <c r="P129"/>
    </row>
    <row r="130" spans="1:18" x14ac:dyDescent="0.2">
      <c r="A130" s="321">
        <v>42583</v>
      </c>
      <c r="B130" s="331"/>
      <c r="C130" s="331">
        <f>'Rate Class Energy Model'!$N$54/'Rate Class Energy Model'!$N$16*'Purchased Power Model '!C118</f>
        <v>4708002.2347585987</v>
      </c>
      <c r="D130" s="328">
        <f>'Weather Analysis'!W15</f>
        <v>2.57</v>
      </c>
      <c r="E130" s="328">
        <f>'Weather Analysis'!W35</f>
        <v>138.56</v>
      </c>
      <c r="F130" s="323">
        <v>31</v>
      </c>
      <c r="G130" s="324">
        <v>0</v>
      </c>
      <c r="H130" s="329">
        <v>156.70146403443502</v>
      </c>
      <c r="I130" s="324">
        <v>128</v>
      </c>
      <c r="J130" s="326">
        <f t="shared" si="16"/>
        <v>14515.35758327314</v>
      </c>
      <c r="K130" s="330">
        <v>352</v>
      </c>
      <c r="L130" s="322">
        <f>'CDM Activity'!C148</f>
        <v>448975.47866693413</v>
      </c>
      <c r="M130" s="324">
        <f t="shared" si="8"/>
        <v>24052046.989664476</v>
      </c>
      <c r="N130" s="1"/>
      <c r="O130" s="115"/>
      <c r="P130"/>
    </row>
    <row r="131" spans="1:18" x14ac:dyDescent="0.2">
      <c r="A131" s="321">
        <v>42614</v>
      </c>
      <c r="B131" s="331"/>
      <c r="C131" s="331">
        <f>'Rate Class Energy Model'!$N$54/'Rate Class Energy Model'!$N$16*'Purchased Power Model '!C119</f>
        <v>4633999.2482205937</v>
      </c>
      <c r="D131" s="328">
        <f>'Weather Analysis'!W16</f>
        <v>41.35</v>
      </c>
      <c r="E131" s="328">
        <f>'Weather Analysis'!W36</f>
        <v>52.5</v>
      </c>
      <c r="F131" s="323">
        <v>30</v>
      </c>
      <c r="G131" s="324">
        <v>1</v>
      </c>
      <c r="H131" s="329">
        <v>156.98589332520095</v>
      </c>
      <c r="I131" s="324">
        <v>129</v>
      </c>
      <c r="J131" s="326">
        <f t="shared" si="16"/>
        <v>14523.704553506936</v>
      </c>
      <c r="K131" s="330">
        <v>336</v>
      </c>
      <c r="L131" s="322">
        <f>'CDM Activity'!C149</f>
        <v>440279.88388755225</v>
      </c>
      <c r="M131" s="324">
        <f t="shared" si="8"/>
        <v>19003546.80722953</v>
      </c>
      <c r="N131" s="1"/>
      <c r="O131" s="115"/>
      <c r="P131"/>
    </row>
    <row r="132" spans="1:18" x14ac:dyDescent="0.2">
      <c r="A132" s="321">
        <v>42644</v>
      </c>
      <c r="B132" s="331"/>
      <c r="C132" s="331">
        <f>'Rate Class Energy Model'!$N$54/'Rate Class Energy Model'!$N$16*'Purchased Power Model '!C120</f>
        <v>4187278.3823254383</v>
      </c>
      <c r="D132" s="328">
        <f>'Weather Analysis'!W17</f>
        <v>195.32</v>
      </c>
      <c r="E132" s="328">
        <f>'Weather Analysis'!W37</f>
        <v>7.5399999999999991</v>
      </c>
      <c r="F132" s="323">
        <v>31</v>
      </c>
      <c r="G132" s="324">
        <v>1</v>
      </c>
      <c r="H132" s="329">
        <v>157.27083888441365</v>
      </c>
      <c r="I132" s="324">
        <v>130</v>
      </c>
      <c r="J132" s="326">
        <f t="shared" si="16"/>
        <v>14532.051523740731</v>
      </c>
      <c r="K132" s="330">
        <v>320</v>
      </c>
      <c r="L132" s="322">
        <f>'CDM Activity'!C150</f>
        <v>431584.28910817037</v>
      </c>
      <c r="M132" s="324">
        <f t="shared" ref="M132:M134" si="17">$Q$18+C132*$Q$19+D132*$Q$20+E132*$Q$21+F132*$Q$22+G132*$Q$23</f>
        <v>18614720.890837729</v>
      </c>
      <c r="N132" s="1"/>
      <c r="O132" s="115"/>
      <c r="P132"/>
    </row>
    <row r="133" spans="1:18" x14ac:dyDescent="0.2">
      <c r="A133" s="321">
        <v>42675</v>
      </c>
      <c r="B133" s="331"/>
      <c r="C133" s="331">
        <f>'Rate Class Energy Model'!$N$54/'Rate Class Energy Model'!$N$16*'Purchased Power Model '!C121</f>
        <v>3561761.4079252449</v>
      </c>
      <c r="D133" s="328">
        <f>'Weather Analysis'!W18</f>
        <v>380.09</v>
      </c>
      <c r="E133" s="328">
        <f>'Weather Analysis'!W38</f>
        <v>0</v>
      </c>
      <c r="F133" s="323">
        <v>30</v>
      </c>
      <c r="G133" s="324">
        <v>1</v>
      </c>
      <c r="H133" s="329">
        <v>157.55630164915351</v>
      </c>
      <c r="I133" s="324">
        <v>131</v>
      </c>
      <c r="J133" s="326">
        <f t="shared" si="16"/>
        <v>14540.398493974526</v>
      </c>
      <c r="K133" s="330">
        <v>336</v>
      </c>
      <c r="L133" s="322">
        <f>'CDM Activity'!C151</f>
        <v>422888.69432878849</v>
      </c>
      <c r="M133" s="324">
        <f t="shared" si="17"/>
        <v>18715815.344784055</v>
      </c>
      <c r="N133" s="1"/>
      <c r="O133" s="115"/>
      <c r="P133"/>
    </row>
    <row r="134" spans="1:18" x14ac:dyDescent="0.2">
      <c r="A134" s="321">
        <v>42705</v>
      </c>
      <c r="B134" s="331"/>
      <c r="C134" s="331">
        <f>'Rate Class Energy Model'!$N$54/'Rate Class Energy Model'!$N$16*'Purchased Power Model '!C122</f>
        <v>3509734.2827836582</v>
      </c>
      <c r="D134" s="328">
        <f>'Weather Analysis'!W19</f>
        <v>546.31999999999994</v>
      </c>
      <c r="E134" s="328">
        <f>'Weather Analysis'!W39</f>
        <v>0</v>
      </c>
      <c r="F134" s="323">
        <v>31</v>
      </c>
      <c r="G134" s="324">
        <v>0</v>
      </c>
      <c r="H134" s="329">
        <v>157.84228255820162</v>
      </c>
      <c r="I134" s="324">
        <v>132</v>
      </c>
      <c r="J134" s="326">
        <f t="shared" si="16"/>
        <v>14548.745464208321</v>
      </c>
      <c r="K134" s="330">
        <v>336</v>
      </c>
      <c r="L134" s="322">
        <f>'CDM Activity'!C152</f>
        <v>414193.09954940662</v>
      </c>
      <c r="M134" s="324">
        <f t="shared" si="17"/>
        <v>21494551.590889219</v>
      </c>
      <c r="N134" s="1"/>
      <c r="O134" s="115"/>
      <c r="P134"/>
    </row>
    <row r="135" spans="1:18" x14ac:dyDescent="0.2">
      <c r="A135" s="321">
        <v>42736</v>
      </c>
      <c r="B135" s="331"/>
      <c r="C135" s="331">
        <f>'Rate Class Energy Model'!$N$55/'Rate Class Energy Model'!$N$16*'Purchased Power Model '!C111</f>
        <v>4531393.1427233536</v>
      </c>
      <c r="D135" s="328">
        <f>D123</f>
        <v>665.55</v>
      </c>
      <c r="E135" s="328">
        <f>E123</f>
        <v>0</v>
      </c>
      <c r="F135" s="323">
        <v>31</v>
      </c>
      <c r="G135" s="324">
        <v>0</v>
      </c>
      <c r="H135" s="329">
        <v>158.15454692394951</v>
      </c>
      <c r="I135" s="324">
        <v>133</v>
      </c>
      <c r="J135" s="326"/>
      <c r="K135" s="330"/>
      <c r="L135" s="322"/>
      <c r="M135" s="324">
        <f t="shared" ref="M135:M146" si="18">$Q$18+C135*$Q$19+D135*$Q$20+E135*$Q$21+F135*$Q$22+G135*$Q$23</f>
        <v>23062605.260042362</v>
      </c>
      <c r="N135" s="115"/>
      <c r="O135" s="115"/>
      <c r="P135"/>
    </row>
    <row r="136" spans="1:18" x14ac:dyDescent="0.2">
      <c r="A136" s="321">
        <v>42767</v>
      </c>
      <c r="B136" s="331"/>
      <c r="C136" s="331">
        <f>'Rate Class Energy Model'!$N$55/'Rate Class Energy Model'!$N$16*'Purchased Power Model '!C112</f>
        <v>5064700.8191180276</v>
      </c>
      <c r="D136" s="328">
        <f t="shared" ref="D136:E136" si="19">D124</f>
        <v>619.5</v>
      </c>
      <c r="E136" s="328">
        <f t="shared" si="19"/>
        <v>0</v>
      </c>
      <c r="F136" s="323">
        <v>28</v>
      </c>
      <c r="G136" s="324">
        <v>0</v>
      </c>
      <c r="H136" s="329">
        <v>158.46742905214063</v>
      </c>
      <c r="I136" s="324">
        <v>134</v>
      </c>
      <c r="J136" s="326"/>
      <c r="K136" s="330"/>
      <c r="L136" s="322"/>
      <c r="M136" s="324">
        <f t="shared" si="18"/>
        <v>21054745.031275958</v>
      </c>
      <c r="N136" s="115"/>
      <c r="O136" s="115"/>
      <c r="P136"/>
      <c r="Q136" s="64"/>
      <c r="R136" s="64"/>
    </row>
    <row r="137" spans="1:18" x14ac:dyDescent="0.2">
      <c r="A137" s="321">
        <v>42795</v>
      </c>
      <c r="B137" s="331"/>
      <c r="C137" s="331">
        <f>'Rate Class Energy Model'!$N$55/'Rate Class Energy Model'!$N$16*'Purchased Power Model '!C113</f>
        <v>4749749.6210118793</v>
      </c>
      <c r="D137" s="328">
        <f t="shared" ref="D137:E137" si="20">D125</f>
        <v>476.25000000000011</v>
      </c>
      <c r="E137" s="328">
        <f t="shared" si="20"/>
        <v>0.6100000000000001</v>
      </c>
      <c r="F137" s="323">
        <v>31</v>
      </c>
      <c r="G137" s="324">
        <v>1</v>
      </c>
      <c r="H137" s="329">
        <v>158.78093016491388</v>
      </c>
      <c r="I137" s="324">
        <v>135</v>
      </c>
      <c r="J137" s="326"/>
      <c r="K137" s="330"/>
      <c r="L137" s="322"/>
      <c r="M137" s="324">
        <f t="shared" si="18"/>
        <v>20883132.208288159</v>
      </c>
      <c r="N137" s="115"/>
      <c r="O137" s="115"/>
      <c r="P137"/>
    </row>
    <row r="138" spans="1:18" x14ac:dyDescent="0.2">
      <c r="A138" s="321">
        <v>42826</v>
      </c>
      <c r="B138" s="331"/>
      <c r="C138" s="331">
        <f>'Rate Class Energy Model'!$N$55/'Rate Class Energy Model'!$N$16*'Purchased Power Model '!C114</f>
        <v>4194211.7119044131</v>
      </c>
      <c r="D138" s="328">
        <f t="shared" ref="D138:E138" si="21">D126</f>
        <v>258.87</v>
      </c>
      <c r="E138" s="328">
        <f t="shared" si="21"/>
        <v>1.67</v>
      </c>
      <c r="F138" s="323">
        <v>30</v>
      </c>
      <c r="G138" s="324">
        <v>1</v>
      </c>
      <c r="H138" s="329">
        <v>159.09505148682601</v>
      </c>
      <c r="I138" s="324">
        <v>136</v>
      </c>
      <c r="J138" s="326"/>
      <c r="K138" s="330"/>
      <c r="L138" s="322"/>
      <c r="M138" s="324">
        <f t="shared" si="18"/>
        <v>18208830.812080715</v>
      </c>
      <c r="N138" s="115"/>
      <c r="O138" s="115"/>
      <c r="P138"/>
    </row>
    <row r="139" spans="1:18" x14ac:dyDescent="0.2">
      <c r="A139" s="321">
        <v>42856</v>
      </c>
      <c r="B139" s="331"/>
      <c r="C139" s="331">
        <f>'Rate Class Energy Model'!$N$55/'Rate Class Energy Model'!$N$16*'Purchased Power Model '!C115</f>
        <v>3369051.5659461785</v>
      </c>
      <c r="D139" s="328">
        <f t="shared" ref="D139:E139" si="22">D127</f>
        <v>92.039999999999992</v>
      </c>
      <c r="E139" s="328">
        <f t="shared" si="22"/>
        <v>37.67</v>
      </c>
      <c r="F139" s="323">
        <v>31</v>
      </c>
      <c r="G139" s="324">
        <v>1</v>
      </c>
      <c r="H139" s="329">
        <v>159.4097942448563</v>
      </c>
      <c r="I139" s="324">
        <v>137</v>
      </c>
      <c r="J139" s="326"/>
      <c r="K139" s="330"/>
      <c r="L139" s="322"/>
      <c r="M139" s="324">
        <f t="shared" si="18"/>
        <v>18635942.68163719</v>
      </c>
      <c r="N139" s="115"/>
      <c r="O139" s="115"/>
      <c r="P139"/>
    </row>
    <row r="140" spans="1:18" x14ac:dyDescent="0.2">
      <c r="A140" s="321">
        <v>42887</v>
      </c>
      <c r="B140" s="331"/>
      <c r="C140" s="331">
        <f>'Rate Class Energy Model'!$N$55/'Rate Class Energy Model'!$N$16*'Purchased Power Model '!C116</f>
        <v>3262455.6260500746</v>
      </c>
      <c r="D140" s="328">
        <f t="shared" ref="D140:E140" si="23">D128</f>
        <v>11.260000000000002</v>
      </c>
      <c r="E140" s="328">
        <f t="shared" si="23"/>
        <v>104.91000000000001</v>
      </c>
      <c r="F140" s="323">
        <v>30</v>
      </c>
      <c r="G140" s="324">
        <v>0</v>
      </c>
      <c r="H140" s="329">
        <v>159.72515966841141</v>
      </c>
      <c r="I140" s="324">
        <v>138</v>
      </c>
      <c r="J140" s="326"/>
      <c r="K140" s="330"/>
      <c r="L140" s="322"/>
      <c r="M140" s="324">
        <f t="shared" si="18"/>
        <v>21094556.605603378</v>
      </c>
      <c r="N140" s="115"/>
      <c r="O140" s="115"/>
      <c r="P140"/>
    </row>
    <row r="141" spans="1:18" x14ac:dyDescent="0.2">
      <c r="A141" s="321">
        <v>42917</v>
      </c>
      <c r="B141" s="331"/>
      <c r="C141" s="331">
        <f>'Rate Class Energy Model'!$N$55/'Rate Class Energy Model'!$N$16*'Purchased Power Model '!C117</f>
        <v>3690012.1638437351</v>
      </c>
      <c r="D141" s="328">
        <f t="shared" ref="D141:E141" si="24">D129</f>
        <v>0.93</v>
      </c>
      <c r="E141" s="328">
        <f t="shared" si="24"/>
        <v>168.14</v>
      </c>
      <c r="F141" s="323">
        <v>31</v>
      </c>
      <c r="G141" s="324">
        <v>0</v>
      </c>
      <c r="H141" s="329">
        <v>160.0411489893302</v>
      </c>
      <c r="I141" s="324">
        <v>139</v>
      </c>
      <c r="J141" s="326"/>
      <c r="K141" s="330"/>
      <c r="L141" s="322"/>
      <c r="M141" s="324">
        <f t="shared" si="18"/>
        <v>24736510.73262639</v>
      </c>
      <c r="N141" s="115"/>
      <c r="O141" s="115"/>
      <c r="P141"/>
    </row>
    <row r="142" spans="1:18" x14ac:dyDescent="0.2">
      <c r="A142" s="321">
        <v>42948</v>
      </c>
      <c r="B142" s="331"/>
      <c r="C142" s="331">
        <f>'Rate Class Energy Model'!$N$55/'Rate Class Energy Model'!$N$16*'Purchased Power Model '!C118</f>
        <v>4556590.2552091451</v>
      </c>
      <c r="D142" s="328">
        <f t="shared" ref="D142:E142" si="25">D130</f>
        <v>2.57</v>
      </c>
      <c r="E142" s="328">
        <f t="shared" si="25"/>
        <v>138.56</v>
      </c>
      <c r="F142" s="323">
        <v>31</v>
      </c>
      <c r="G142" s="324">
        <v>0</v>
      </c>
      <c r="H142" s="329">
        <v>160.35776344188849</v>
      </c>
      <c r="I142" s="324">
        <v>140</v>
      </c>
      <c r="J142" s="326"/>
      <c r="K142" s="330"/>
      <c r="L142" s="322"/>
      <c r="M142" s="324">
        <f t="shared" si="18"/>
        <v>23960264.268474568</v>
      </c>
      <c r="N142" s="115"/>
      <c r="O142" s="115"/>
      <c r="P142"/>
    </row>
    <row r="143" spans="1:18" x14ac:dyDescent="0.2">
      <c r="A143" s="321">
        <v>42979</v>
      </c>
      <c r="B143" s="331"/>
      <c r="C143" s="331">
        <f>'Rate Class Energy Model'!$N$55/'Rate Class Energy Model'!$N$16*'Purchased Power Model '!C119</f>
        <v>4484967.2460215259</v>
      </c>
      <c r="D143" s="328">
        <f t="shared" ref="D143:E143" si="26">D131</f>
        <v>41.35</v>
      </c>
      <c r="E143" s="328">
        <f t="shared" si="26"/>
        <v>52.5</v>
      </c>
      <c r="F143" s="323">
        <v>30</v>
      </c>
      <c r="G143" s="324">
        <v>1</v>
      </c>
      <c r="H143" s="329">
        <v>160.67500426280395</v>
      </c>
      <c r="I143" s="324">
        <v>141</v>
      </c>
      <c r="J143" s="326"/>
      <c r="K143" s="330"/>
      <c r="L143" s="322"/>
      <c r="M143" s="324">
        <f t="shared" si="18"/>
        <v>18913206.777682904</v>
      </c>
      <c r="N143" s="115"/>
      <c r="O143" s="115"/>
      <c r="P143"/>
    </row>
    <row r="144" spans="1:18" x14ac:dyDescent="0.2">
      <c r="A144" s="321">
        <v>43009</v>
      </c>
      <c r="B144" s="331"/>
      <c r="C144" s="331">
        <f>'Rate Class Energy Model'!$N$55/'Rate Class Energy Model'!$N$16*'Purchased Power Model '!C120</f>
        <v>4052613.1725020963</v>
      </c>
      <c r="D144" s="328">
        <f t="shared" ref="D144:E144" si="27">D132</f>
        <v>195.32</v>
      </c>
      <c r="E144" s="328">
        <f t="shared" si="27"/>
        <v>7.5399999999999991</v>
      </c>
      <c r="F144" s="323">
        <v>31</v>
      </c>
      <c r="G144" s="324">
        <v>1</v>
      </c>
      <c r="H144" s="329">
        <v>160.99287269124085</v>
      </c>
      <c r="I144" s="324">
        <v>142</v>
      </c>
      <c r="J144" s="326"/>
      <c r="K144" s="330"/>
      <c r="L144" s="322"/>
      <c r="M144" s="324">
        <f t="shared" si="18"/>
        <v>18533089.705221009</v>
      </c>
      <c r="N144" s="115"/>
      <c r="O144" s="115"/>
      <c r="P144"/>
    </row>
    <row r="145" spans="1:19" x14ac:dyDescent="0.2">
      <c r="A145" s="321">
        <v>43040</v>
      </c>
      <c r="B145" s="331"/>
      <c r="C145" s="331">
        <f>'Rate Class Energy Model'!$N$55/'Rate Class Energy Model'!$N$16*'Purchased Power Model '!C121</f>
        <v>3447213.1731187114</v>
      </c>
      <c r="D145" s="328">
        <f t="shared" ref="D145:E145" si="28">D133</f>
        <v>380.09</v>
      </c>
      <c r="E145" s="328">
        <f t="shared" si="28"/>
        <v>0</v>
      </c>
      <c r="F145" s="323">
        <v>30</v>
      </c>
      <c r="G145" s="324">
        <v>1</v>
      </c>
      <c r="H145" s="329">
        <v>161.31136996881492</v>
      </c>
      <c r="I145" s="324">
        <v>143</v>
      </c>
      <c r="J145" s="326"/>
      <c r="K145" s="330"/>
      <c r="L145" s="322"/>
      <c r="M145" s="324">
        <f t="shared" si="18"/>
        <v>18646378.641497243</v>
      </c>
      <c r="N145" s="115"/>
      <c r="O145" s="115"/>
      <c r="P145"/>
    </row>
    <row r="146" spans="1:19" x14ac:dyDescent="0.2">
      <c r="A146" s="321">
        <v>43070</v>
      </c>
      <c r="B146" s="331"/>
      <c r="C146" s="331">
        <f>'Rate Class Energy Model'!$N$55/'Rate Class Energy Model'!$N$16*'Purchased Power Model '!C122</f>
        <v>3396859.269359604</v>
      </c>
      <c r="D146" s="328">
        <f t="shared" ref="D146:E146" si="29">D134</f>
        <v>546.31999999999994</v>
      </c>
      <c r="E146" s="328">
        <f t="shared" si="29"/>
        <v>0</v>
      </c>
      <c r="F146" s="323">
        <v>31</v>
      </c>
      <c r="G146" s="324">
        <v>0</v>
      </c>
      <c r="H146" s="329">
        <v>161.63049733959846</v>
      </c>
      <c r="I146" s="324">
        <v>144</v>
      </c>
      <c r="J146" s="326"/>
      <c r="K146" s="330"/>
      <c r="L146" s="322"/>
      <c r="M146" s="324">
        <f t="shared" si="18"/>
        <v>21426129.158811953</v>
      </c>
      <c r="N146" s="115"/>
      <c r="O146" s="115"/>
      <c r="P146"/>
    </row>
    <row r="147" spans="1:19" x14ac:dyDescent="0.2">
      <c r="A147" s="77"/>
      <c r="D147"/>
      <c r="E147"/>
      <c r="M147" s="91">
        <f>SUM(M3:M146)</f>
        <v>3004758372.6059194</v>
      </c>
    </row>
    <row r="148" spans="1:19" x14ac:dyDescent="0.2">
      <c r="A148" s="77"/>
      <c r="N148" s="284"/>
      <c r="O148" s="284"/>
      <c r="P148" s="285"/>
      <c r="Q148" s="115" t="s">
        <v>240</v>
      </c>
      <c r="R148" s="385" t="s">
        <v>287</v>
      </c>
      <c r="S148" s="385"/>
    </row>
    <row r="149" spans="1:19" x14ac:dyDescent="0.2">
      <c r="A149" s="70">
        <v>2006</v>
      </c>
      <c r="B149" s="71">
        <f>SUM(B3:B14)</f>
        <v>213838930</v>
      </c>
      <c r="D149" s="92"/>
      <c r="M149" s="71">
        <f>SUM(M3:M14)</f>
        <v>216201613.10727879</v>
      </c>
      <c r="N149" s="284">
        <f>M149-B149</f>
        <v>2362683.1072787941</v>
      </c>
      <c r="O149" s="284"/>
      <c r="P149" s="285">
        <f>N149/B149</f>
        <v>1.1048891365472106E-2</v>
      </c>
      <c r="Q149" s="6">
        <f>'Purchased Power Model  WN'!M149</f>
        <v>219573980.41542327</v>
      </c>
      <c r="R149" s="18">
        <f>Q149/M149</f>
        <v>1.0155982522964393</v>
      </c>
    </row>
    <row r="150" spans="1:19" x14ac:dyDescent="0.2">
      <c r="A150" s="93">
        <v>2007</v>
      </c>
      <c r="B150" s="71">
        <f>SUM(B15:B26)</f>
        <v>271076220</v>
      </c>
      <c r="D150" s="92"/>
      <c r="M150" s="71">
        <f>SUM(M15:M26)</f>
        <v>264854396.69680467</v>
      </c>
      <c r="N150" s="284">
        <f t="shared" ref="N150:N158" si="30">M150-B150</f>
        <v>-6221823.3031953275</v>
      </c>
      <c r="O150" s="284"/>
      <c r="P150" s="285">
        <f t="shared" ref="P150:P158" si="31">N150/B150</f>
        <v>-2.2952302135522355E-2</v>
      </c>
      <c r="Q150" s="6">
        <f>'Purchased Power Model  WN'!M150</f>
        <v>260593042.44091734</v>
      </c>
      <c r="R150" s="18">
        <f t="shared" ref="R150:R160" si="32">Q150/M150</f>
        <v>0.983910577626674</v>
      </c>
    </row>
    <row r="151" spans="1:19" x14ac:dyDescent="0.2">
      <c r="A151" s="70">
        <v>2008</v>
      </c>
      <c r="B151" s="71">
        <f>SUM(B27:B38)</f>
        <v>262640600</v>
      </c>
      <c r="D151" s="92"/>
      <c r="M151" s="71">
        <f>SUM(M27:M38)</f>
        <v>258505658.01721787</v>
      </c>
      <c r="N151" s="284">
        <f t="shared" si="30"/>
        <v>-4134941.9827821255</v>
      </c>
      <c r="O151" s="284"/>
      <c r="P151" s="285">
        <f t="shared" si="31"/>
        <v>-1.5743727294188811E-2</v>
      </c>
      <c r="Q151" s="6">
        <f>'Purchased Power Model  WN'!M151</f>
        <v>256180630.20133746</v>
      </c>
      <c r="R151" s="18">
        <f t="shared" si="32"/>
        <v>0.99100589196494271</v>
      </c>
    </row>
    <row r="152" spans="1:19" x14ac:dyDescent="0.2">
      <c r="A152" s="93">
        <v>2009</v>
      </c>
      <c r="B152" s="71">
        <f>SUM(B39:B50)</f>
        <v>248858578.46153846</v>
      </c>
      <c r="D152" s="92"/>
      <c r="M152" s="71">
        <f>SUM(M39:M50)</f>
        <v>246911828.68177682</v>
      </c>
      <c r="N152" s="284">
        <f t="shared" si="30"/>
        <v>-1946749.7797616422</v>
      </c>
      <c r="O152" s="284"/>
      <c r="P152" s="285">
        <f t="shared" si="31"/>
        <v>-7.8227151814359332E-3</v>
      </c>
      <c r="Q152" s="6">
        <f>'Purchased Power Model  WN'!M152</f>
        <v>253057290.06343457</v>
      </c>
      <c r="R152" s="18">
        <f t="shared" si="32"/>
        <v>1.0248892951563617</v>
      </c>
    </row>
    <row r="153" spans="1:19" x14ac:dyDescent="0.2">
      <c r="A153" s="70">
        <v>2010</v>
      </c>
      <c r="B153" s="71">
        <f>SUM(B51:B62)</f>
        <v>261284907.69230774</v>
      </c>
      <c r="D153" s="92"/>
      <c r="M153" s="71">
        <f>SUM(M51:M62)</f>
        <v>255572915.31708446</v>
      </c>
      <c r="N153" s="284">
        <f t="shared" si="30"/>
        <v>-5711992.375223279</v>
      </c>
      <c r="O153" s="284"/>
      <c r="P153" s="285">
        <f t="shared" si="31"/>
        <v>-2.1861164602548687E-2</v>
      </c>
      <c r="Q153" s="6">
        <f>'Purchased Power Model  WN'!M153</f>
        <v>251089225.08849913</v>
      </c>
      <c r="R153" s="18">
        <f t="shared" si="32"/>
        <v>0.98245631692614022</v>
      </c>
    </row>
    <row r="154" spans="1:19" x14ac:dyDescent="0.2">
      <c r="A154" s="70">
        <v>2011</v>
      </c>
      <c r="B154" s="71">
        <f>SUM(B63:B74)</f>
        <v>255035715.38461539</v>
      </c>
      <c r="D154" s="94"/>
      <c r="E154" s="95"/>
      <c r="M154" s="71">
        <f>SUM(M63:M74)</f>
        <v>257456890.58217561</v>
      </c>
      <c r="N154" s="284">
        <f t="shared" si="30"/>
        <v>2421175.197560221</v>
      </c>
      <c r="O154" s="284"/>
      <c r="P154" s="285">
        <f t="shared" si="31"/>
        <v>9.49347503705073E-3</v>
      </c>
      <c r="Q154" s="6">
        <f>'Purchased Power Model  WN'!M154</f>
        <v>254133677.89694893</v>
      </c>
      <c r="R154" s="18">
        <f t="shared" si="32"/>
        <v>0.98709215869999811</v>
      </c>
    </row>
    <row r="155" spans="1:19" ht="13.5" customHeight="1" x14ac:dyDescent="0.2">
      <c r="A155" s="70">
        <v>2012</v>
      </c>
      <c r="B155" s="71">
        <f>SUM(B75:B86)</f>
        <v>246901827.27272725</v>
      </c>
      <c r="D155" s="92"/>
      <c r="M155" s="71">
        <f>SUM(M75:M86)</f>
        <v>253403283.71799523</v>
      </c>
      <c r="N155" s="284">
        <f t="shared" si="30"/>
        <v>6501456.4452679753</v>
      </c>
      <c r="O155" s="284"/>
      <c r="P155" s="285">
        <f t="shared" si="31"/>
        <v>2.6332152001801428E-2</v>
      </c>
      <c r="Q155" s="6">
        <f>'Purchased Power Model  WN'!M155</f>
        <v>253066031.90329424</v>
      </c>
      <c r="R155" s="18">
        <f t="shared" si="32"/>
        <v>0.99866911032188399</v>
      </c>
    </row>
    <row r="156" spans="1:19" ht="13.5" customHeight="1" x14ac:dyDescent="0.2">
      <c r="A156" s="70">
        <v>2013</v>
      </c>
      <c r="B156" s="71">
        <f>SUM(B87:B98)</f>
        <v>247681431.06060606</v>
      </c>
      <c r="D156" s="92"/>
      <c r="M156" s="71">
        <f>SUM(M87:M98)</f>
        <v>251372242.30991054</v>
      </c>
      <c r="N156" s="284">
        <f t="shared" si="30"/>
        <v>3690811.2493044734</v>
      </c>
      <c r="O156" s="284"/>
      <c r="P156" s="285">
        <f t="shared" si="31"/>
        <v>1.4901445108339007E-2</v>
      </c>
      <c r="Q156" s="6">
        <f>'Purchased Power Model  WN'!M156</f>
        <v>252214251.47970971</v>
      </c>
      <c r="R156" s="18">
        <f t="shared" si="32"/>
        <v>1.0033496505503623</v>
      </c>
    </row>
    <row r="157" spans="1:19" ht="13.5" customHeight="1" x14ac:dyDescent="0.2">
      <c r="A157" s="70">
        <v>2014</v>
      </c>
      <c r="B157" s="71">
        <f>SUM(B99:B110)</f>
        <v>249772655.12820518</v>
      </c>
      <c r="D157" s="92"/>
      <c r="M157" s="71">
        <f>SUM(M99:M110)</f>
        <v>252824165.03788921</v>
      </c>
      <c r="N157" s="284">
        <f t="shared" si="30"/>
        <v>3051509.9096840322</v>
      </c>
      <c r="O157" s="284"/>
      <c r="P157" s="285">
        <f t="shared" si="31"/>
        <v>1.2217149664032399E-2</v>
      </c>
      <c r="Q157" s="6">
        <f>'Purchased Power Model  WN'!M157</f>
        <v>253747599.24984008</v>
      </c>
      <c r="R157" s="18">
        <f t="shared" si="32"/>
        <v>1.0036524760669634</v>
      </c>
    </row>
    <row r="158" spans="1:19" ht="13.5" customHeight="1" x14ac:dyDescent="0.2">
      <c r="A158" s="70">
        <v>2015</v>
      </c>
      <c r="B158" s="71">
        <f>SUM(B111:B122)</f>
        <v>247718853.84615383</v>
      </c>
      <c r="D158" s="92"/>
      <c r="M158" s="71">
        <f>SUM(M111:M122)</f>
        <v>247706725.37802175</v>
      </c>
      <c r="N158" s="284">
        <f t="shared" si="30"/>
        <v>-12128.468132078648</v>
      </c>
      <c r="O158" s="284"/>
      <c r="P158" s="285">
        <f t="shared" si="31"/>
        <v>-4.8960617828512362E-5</v>
      </c>
      <c r="Q158" s="6">
        <f>'Purchased Power Model  WN'!M158</f>
        <v>251153990.10675034</v>
      </c>
      <c r="R158" s="18">
        <f t="shared" si="32"/>
        <v>1.0139167183429023</v>
      </c>
    </row>
    <row r="159" spans="1:19" ht="13.5" customHeight="1" x14ac:dyDescent="0.2">
      <c r="A159" s="70">
        <v>2016</v>
      </c>
      <c r="C159" s="91"/>
      <c r="D159" s="91"/>
      <c r="M159" s="91">
        <f>SUM(M123:M134)</f>
        <v>250793261.8765212</v>
      </c>
      <c r="N159" s="284"/>
      <c r="O159" s="284"/>
      <c r="P159" s="285"/>
      <c r="Q159" s="6">
        <f>'Purchased Power Model  WN'!M159</f>
        <v>250793261.8765212</v>
      </c>
      <c r="R159" s="18">
        <f t="shared" si="32"/>
        <v>1</v>
      </c>
    </row>
    <row r="160" spans="1:19" ht="13.5" customHeight="1" x14ac:dyDescent="0.2">
      <c r="A160" s="70">
        <v>2017</v>
      </c>
      <c r="C160" s="91"/>
      <c r="D160" s="91"/>
      <c r="M160" s="91">
        <f>SUM(M135:M146)</f>
        <v>249155391.88324183</v>
      </c>
      <c r="N160" s="284"/>
      <c r="O160" s="284"/>
      <c r="P160" s="285"/>
      <c r="Q160" s="6">
        <f>'Purchased Power Model  WN'!M160</f>
        <v>249155391.88324183</v>
      </c>
      <c r="R160" s="18">
        <f t="shared" si="32"/>
        <v>1</v>
      </c>
    </row>
    <row r="161" spans="1:16" ht="13.5" customHeight="1" x14ac:dyDescent="0.2">
      <c r="D161" s="92"/>
      <c r="M161" s="91"/>
      <c r="N161" s="71"/>
      <c r="O161" s="71"/>
      <c r="P161" s="115"/>
    </row>
    <row r="162" spans="1:16" ht="13.5" customHeight="1" x14ac:dyDescent="0.2">
      <c r="A162" s="93"/>
      <c r="D162" s="92"/>
      <c r="N162" s="71"/>
      <c r="O162" s="71"/>
    </row>
    <row r="163" spans="1:16" x14ac:dyDescent="0.2">
      <c r="A163" s="145" t="s">
        <v>153</v>
      </c>
      <c r="B163" s="71">
        <f>SUM(B149:B158)</f>
        <v>2504809718.8461537</v>
      </c>
      <c r="M163" s="71">
        <f>SUM(M149:M158)</f>
        <v>2504809718.8461552</v>
      </c>
      <c r="N163" s="71">
        <f>B163-M163</f>
        <v>0</v>
      </c>
      <c r="O163" s="71"/>
    </row>
    <row r="164" spans="1:16" x14ac:dyDescent="0.2">
      <c r="P164"/>
    </row>
    <row r="165" spans="1:16" x14ac:dyDescent="0.2">
      <c r="M165" s="71">
        <f>SUM(M149:M160)</f>
        <v>3004758372.6059179</v>
      </c>
      <c r="N165" s="71">
        <f>M147-M165</f>
        <v>0</v>
      </c>
      <c r="O165" s="71"/>
      <c r="P165"/>
    </row>
    <row r="166" spans="1:16" x14ac:dyDescent="0.2">
      <c r="B166" s="96"/>
      <c r="G166" s="384" t="s">
        <v>143</v>
      </c>
      <c r="H166" s="384"/>
      <c r="I166" s="384"/>
      <c r="J166" s="384"/>
      <c r="K166" s="384"/>
      <c r="L166" s="384"/>
      <c r="M166" s="384"/>
      <c r="N166" s="384"/>
      <c r="O166" s="177"/>
      <c r="P166"/>
    </row>
    <row r="167" spans="1:16" x14ac:dyDescent="0.2">
      <c r="P167"/>
    </row>
    <row r="168" spans="1:16" x14ac:dyDescent="0.2">
      <c r="B168" s="96" t="s">
        <v>74</v>
      </c>
      <c r="P168"/>
    </row>
    <row r="169" spans="1:16" x14ac:dyDescent="0.2">
      <c r="A169" s="77">
        <v>42736</v>
      </c>
      <c r="C169" s="71">
        <f>C135</f>
        <v>4531393.1427233536</v>
      </c>
      <c r="D169" s="71">
        <f>'Weather Analysis'!X8</f>
        <v>694.90729323308278</v>
      </c>
      <c r="E169" s="71">
        <f>'Weather Analysis'!X28</f>
        <v>0</v>
      </c>
      <c r="F169" s="71">
        <f t="shared" ref="F169:G169" si="33">F135</f>
        <v>31</v>
      </c>
      <c r="G169" s="71">
        <f t="shared" si="33"/>
        <v>0</v>
      </c>
      <c r="H169" s="87">
        <v>153.39479317840454</v>
      </c>
      <c r="I169" s="80">
        <v>133</v>
      </c>
      <c r="J169" s="81">
        <f>($J$128-$J$116)/12+J168</f>
        <v>8.3469702337958243</v>
      </c>
      <c r="K169" s="88">
        <v>320</v>
      </c>
      <c r="L169" s="78">
        <f>'CDM Activity'!C175</f>
        <v>0</v>
      </c>
      <c r="M169" s="80">
        <f t="shared" ref="M169:M180" si="34">$Q$18+C169*$Q$19+D169*$Q$20+E169*$Q$21+F169*$Q$22+G169*$Q$23</f>
        <v>23296209.291567009</v>
      </c>
      <c r="N169" s="80"/>
      <c r="O169" s="80"/>
      <c r="P169"/>
    </row>
    <row r="170" spans="1:16" x14ac:dyDescent="0.2">
      <c r="A170" s="77">
        <v>42767</v>
      </c>
      <c r="C170" s="71">
        <f t="shared" ref="C170:G180" si="35">C136</f>
        <v>5064700.8191180276</v>
      </c>
      <c r="D170" s="71">
        <f>'Weather Analysis'!X9</f>
        <v>670.11375939849677</v>
      </c>
      <c r="E170" s="71">
        <f>'Weather Analysis'!X29</f>
        <v>0</v>
      </c>
      <c r="F170" s="71">
        <f t="shared" si="35"/>
        <v>28</v>
      </c>
      <c r="G170" s="71">
        <f t="shared" si="35"/>
        <v>0</v>
      </c>
      <c r="H170" s="87">
        <v>153.69825893564374</v>
      </c>
      <c r="I170" s="80">
        <v>134</v>
      </c>
      <c r="J170" s="81">
        <f>($J$128-$J$116)/12+J169</f>
        <v>16.693940467591649</v>
      </c>
      <c r="K170" s="88">
        <v>320</v>
      </c>
      <c r="L170" s="78">
        <f>'CDM Activity'!C176</f>
        <v>0</v>
      </c>
      <c r="M170" s="80">
        <f t="shared" si="34"/>
        <v>21457492.592239212</v>
      </c>
      <c r="N170" s="80"/>
      <c r="O170" s="80"/>
      <c r="P170"/>
    </row>
    <row r="171" spans="1:16" x14ac:dyDescent="0.2">
      <c r="A171" s="77">
        <v>42795</v>
      </c>
      <c r="C171" s="71">
        <f t="shared" si="35"/>
        <v>4749749.6210118793</v>
      </c>
      <c r="D171" s="71">
        <f>'Weather Analysis'!X10</f>
        <v>480.00112781954886</v>
      </c>
      <c r="E171" s="71">
        <f>'Weather Analysis'!X30</f>
        <v>0.4806015037593987</v>
      </c>
      <c r="F171" s="71">
        <f t="shared" si="35"/>
        <v>31</v>
      </c>
      <c r="G171" s="71">
        <f t="shared" si="35"/>
        <v>1</v>
      </c>
      <c r="H171" s="87">
        <v>154.00232504876143</v>
      </c>
      <c r="I171" s="80">
        <v>135</v>
      </c>
      <c r="J171" s="81">
        <f>($J$128-$J$116)/12+J170</f>
        <v>25.040910701387475</v>
      </c>
      <c r="K171" s="88">
        <v>352</v>
      </c>
      <c r="L171" s="78">
        <f>'CDM Activity'!C177</f>
        <v>0</v>
      </c>
      <c r="M171" s="80">
        <f t="shared" si="34"/>
        <v>20907230.218704209</v>
      </c>
      <c r="N171" s="80"/>
      <c r="O171" s="80"/>
      <c r="P171"/>
    </row>
    <row r="172" spans="1:16" x14ac:dyDescent="0.2">
      <c r="A172" s="77">
        <v>42826</v>
      </c>
      <c r="C172" s="71">
        <f t="shared" si="35"/>
        <v>4194211.7119044131</v>
      </c>
      <c r="D172" s="71">
        <f>'Weather Analysis'!X11</f>
        <v>251.59789473684214</v>
      </c>
      <c r="E172" s="71">
        <f>'Weather Analysis'!X31</f>
        <v>1.8065413533834587</v>
      </c>
      <c r="F172" s="71">
        <f t="shared" si="35"/>
        <v>30</v>
      </c>
      <c r="G172" s="71">
        <f t="shared" si="35"/>
        <v>1</v>
      </c>
      <c r="H172" s="87">
        <v>154.3069927054606</v>
      </c>
      <c r="I172" s="80">
        <v>136</v>
      </c>
      <c r="J172" s="81">
        <f>($J$128-$J$116)/12+J171</f>
        <v>33.387880935183297</v>
      </c>
      <c r="K172" s="88">
        <v>336</v>
      </c>
      <c r="L172" s="78">
        <f>'CDM Activity'!C178</f>
        <v>0</v>
      </c>
      <c r="M172" s="80">
        <f t="shared" si="34"/>
        <v>18157032.862393215</v>
      </c>
      <c r="N172" s="80"/>
      <c r="O172" s="80"/>
      <c r="P172"/>
    </row>
    <row r="173" spans="1:16" x14ac:dyDescent="0.2">
      <c r="A173" s="77">
        <v>42856</v>
      </c>
      <c r="C173" s="71">
        <f t="shared" si="35"/>
        <v>3369051.5659461785</v>
      </c>
      <c r="D173" s="71">
        <f>'Weather Analysis'!X12</f>
        <v>74.01924812030029</v>
      </c>
      <c r="E173" s="71">
        <f>'Weather Analysis'!X32</f>
        <v>43.507443609022175</v>
      </c>
      <c r="F173" s="71">
        <f t="shared" si="35"/>
        <v>31</v>
      </c>
      <c r="G173" s="71">
        <f t="shared" si="35"/>
        <v>1</v>
      </c>
      <c r="H173" s="87">
        <v>154.61226309579388</v>
      </c>
      <c r="I173" s="80">
        <v>137</v>
      </c>
      <c r="J173" s="81">
        <f>($J$128-$J$116)/12+J172</f>
        <v>41.73485116897912</v>
      </c>
      <c r="K173" s="88">
        <v>336</v>
      </c>
      <c r="L173" s="78">
        <f>'CDM Activity'!C179</f>
        <v>0</v>
      </c>
      <c r="M173" s="80">
        <f t="shared" si="34"/>
        <v>18751974.92603334</v>
      </c>
      <c r="N173" s="80"/>
      <c r="O173" s="80"/>
      <c r="P173"/>
    </row>
    <row r="174" spans="1:16" x14ac:dyDescent="0.2">
      <c r="A174" s="77">
        <v>42887</v>
      </c>
      <c r="C174" s="71">
        <f t="shared" si="35"/>
        <v>3262455.6260500746</v>
      </c>
      <c r="D174" s="71">
        <f>'Weather Analysis'!X13</f>
        <v>8.6001503759400748</v>
      </c>
      <c r="E174" s="71">
        <f>'Weather Analysis'!X33</f>
        <v>102.14676691729323</v>
      </c>
      <c r="F174" s="71">
        <f t="shared" si="35"/>
        <v>30</v>
      </c>
      <c r="G174" s="71">
        <f t="shared" si="35"/>
        <v>0</v>
      </c>
      <c r="H174" s="87">
        <v>154.91813741216822</v>
      </c>
      <c r="I174" s="80">
        <v>138</v>
      </c>
      <c r="J174" s="82">
        <f>'Rate Class Customer Model'!I49</f>
        <v>0</v>
      </c>
      <c r="K174" s="88">
        <v>352</v>
      </c>
      <c r="L174" s="78">
        <f>'CDM Activity'!C180</f>
        <v>0</v>
      </c>
      <c r="M174" s="80">
        <f t="shared" si="34"/>
        <v>20950587.545617305</v>
      </c>
      <c r="N174" s="80"/>
      <c r="O174" s="80"/>
      <c r="P174"/>
    </row>
    <row r="175" spans="1:16" x14ac:dyDescent="0.2">
      <c r="A175" s="77">
        <v>42917</v>
      </c>
      <c r="C175" s="71">
        <f t="shared" si="35"/>
        <v>3690012.1638437351</v>
      </c>
      <c r="D175" s="71">
        <f>'Weather Analysis'!X14</f>
        <v>1.0918045112781947</v>
      </c>
      <c r="E175" s="71">
        <f>'Weather Analysis'!X34</f>
        <v>172.60518796992483</v>
      </c>
      <c r="F175" s="71">
        <f t="shared" si="35"/>
        <v>31</v>
      </c>
      <c r="G175" s="71">
        <f t="shared" si="35"/>
        <v>0</v>
      </c>
      <c r="H175" s="87">
        <v>155.22461684934959</v>
      </c>
      <c r="I175" s="80">
        <v>139</v>
      </c>
      <c r="J175" s="81">
        <f t="shared" ref="J175:J180" si="36">($J$128-$J$116)/12+J174</f>
        <v>8.3469702337958243</v>
      </c>
      <c r="K175" s="88">
        <v>320</v>
      </c>
      <c r="L175" s="78">
        <f>'CDM Activity'!C181</f>
        <v>0</v>
      </c>
      <c r="M175" s="80">
        <f t="shared" si="34"/>
        <v>24936240.628194429</v>
      </c>
      <c r="N175" s="80"/>
      <c r="O175" s="80"/>
      <c r="P175"/>
    </row>
    <row r="176" spans="1:16" x14ac:dyDescent="0.2">
      <c r="A176" s="77">
        <v>42948</v>
      </c>
      <c r="C176" s="71">
        <f t="shared" si="35"/>
        <v>4556590.2552091451</v>
      </c>
      <c r="D176" s="71">
        <f>'Weather Analysis'!X15</f>
        <v>2.9381203007518906</v>
      </c>
      <c r="E176" s="71">
        <f>'Weather Analysis'!X35</f>
        <v>140.60383458646606</v>
      </c>
      <c r="F176" s="71">
        <f t="shared" si="35"/>
        <v>31</v>
      </c>
      <c r="G176" s="71">
        <f t="shared" si="35"/>
        <v>0</v>
      </c>
      <c r="H176" s="87">
        <v>155.53170260446751</v>
      </c>
      <c r="I176" s="80">
        <v>140</v>
      </c>
      <c r="J176" s="81">
        <f t="shared" si="36"/>
        <v>16.693940467591649</v>
      </c>
      <c r="K176" s="88">
        <v>352</v>
      </c>
      <c r="L176" s="78">
        <f>'CDM Activity'!C182</f>
        <v>0</v>
      </c>
      <c r="M176" s="80">
        <f t="shared" si="34"/>
        <v>24054025.823136274</v>
      </c>
      <c r="N176" s="80"/>
      <c r="O176" s="80"/>
      <c r="P176"/>
    </row>
    <row r="177" spans="1:16" x14ac:dyDescent="0.2">
      <c r="A177" s="77">
        <v>42979</v>
      </c>
      <c r="C177" s="71">
        <f t="shared" si="35"/>
        <v>4484967.2460215259</v>
      </c>
      <c r="D177" s="71">
        <f>'Weather Analysis'!X16</f>
        <v>40.126466165413547</v>
      </c>
      <c r="E177" s="71">
        <f>'Weather Analysis'!X36</f>
        <v>55.952781954887229</v>
      </c>
      <c r="F177" s="71">
        <f t="shared" si="35"/>
        <v>30</v>
      </c>
      <c r="G177" s="71">
        <f t="shared" si="35"/>
        <v>1</v>
      </c>
      <c r="H177" s="87">
        <v>155.83939587701994</v>
      </c>
      <c r="I177" s="80">
        <v>141</v>
      </c>
      <c r="J177" s="81">
        <f t="shared" si="36"/>
        <v>25.040910701387475</v>
      </c>
      <c r="K177" s="88">
        <v>336</v>
      </c>
      <c r="L177" s="78">
        <f>'CDM Activity'!C183</f>
        <v>0</v>
      </c>
      <c r="M177" s="80">
        <f t="shared" si="34"/>
        <v>19056919.697215665</v>
      </c>
      <c r="N177" s="80"/>
      <c r="O177" s="80"/>
      <c r="P177"/>
    </row>
    <row r="178" spans="1:16" x14ac:dyDescent="0.2">
      <c r="A178" s="77">
        <v>43009</v>
      </c>
      <c r="C178" s="71">
        <f t="shared" si="35"/>
        <v>4052613.1725020963</v>
      </c>
      <c r="D178" s="71">
        <f>'Weather Analysis'!X17</f>
        <v>187.91481203007515</v>
      </c>
      <c r="E178" s="71">
        <f>'Weather Analysis'!X37</f>
        <v>6.6640601503759456</v>
      </c>
      <c r="F178" s="71">
        <f t="shared" si="35"/>
        <v>31</v>
      </c>
      <c r="G178" s="71">
        <f t="shared" si="35"/>
        <v>1</v>
      </c>
      <c r="H178" s="87">
        <v>156.14769786887774</v>
      </c>
      <c r="I178" s="80">
        <v>142</v>
      </c>
      <c r="J178" s="81">
        <f t="shared" si="36"/>
        <v>33.387880935183297</v>
      </c>
      <c r="K178" s="88">
        <v>320</v>
      </c>
      <c r="L178" s="78">
        <f>'CDM Activity'!C184</f>
        <v>0</v>
      </c>
      <c r="M178" s="80">
        <f t="shared" si="34"/>
        <v>18435235.979453679</v>
      </c>
      <c r="N178" s="80"/>
      <c r="O178" s="80"/>
      <c r="P178"/>
    </row>
    <row r="179" spans="1:16" x14ac:dyDescent="0.2">
      <c r="A179" s="77">
        <v>43040</v>
      </c>
      <c r="C179" s="71">
        <f t="shared" si="35"/>
        <v>3447213.1731187114</v>
      </c>
      <c r="D179" s="71">
        <f>'Weather Analysis'!X18</f>
        <v>369.92270676691737</v>
      </c>
      <c r="E179" s="71">
        <f>'Weather Analysis'!X38</f>
        <v>0</v>
      </c>
      <c r="F179" s="71">
        <f t="shared" si="35"/>
        <v>30</v>
      </c>
      <c r="G179" s="71">
        <f t="shared" si="35"/>
        <v>1</v>
      </c>
      <c r="H179" s="87">
        <v>156.45660978428953</v>
      </c>
      <c r="I179" s="80">
        <v>143</v>
      </c>
      <c r="J179" s="81">
        <f t="shared" si="36"/>
        <v>41.73485116897912</v>
      </c>
      <c r="K179" s="88">
        <v>336</v>
      </c>
      <c r="L179" s="78">
        <f>'CDM Activity'!C185</f>
        <v>0</v>
      </c>
      <c r="M179" s="80">
        <f t="shared" si="34"/>
        <v>18565474.701543245</v>
      </c>
      <c r="N179" s="80"/>
      <c r="O179" s="80"/>
      <c r="P179"/>
    </row>
    <row r="180" spans="1:16" x14ac:dyDescent="0.2">
      <c r="A180" s="77">
        <v>43070</v>
      </c>
      <c r="C180" s="71">
        <f t="shared" si="35"/>
        <v>3396859.269359604</v>
      </c>
      <c r="D180" s="71">
        <f>'Weather Analysis'!X19</f>
        <v>527.74022556390901</v>
      </c>
      <c r="E180" s="71">
        <f>'Weather Analysis'!X39</f>
        <v>0</v>
      </c>
      <c r="F180" s="71">
        <f t="shared" si="35"/>
        <v>31</v>
      </c>
      <c r="G180" s="71">
        <f t="shared" si="35"/>
        <v>0</v>
      </c>
      <c r="H180" s="87">
        <v>156.7661328298864</v>
      </c>
      <c r="I180" s="80">
        <v>144</v>
      </c>
      <c r="J180" s="81">
        <f t="shared" si="36"/>
        <v>50.081821402774942</v>
      </c>
      <c r="K180" s="88">
        <v>336</v>
      </c>
      <c r="L180" s="78">
        <f>'CDM Activity'!C186</f>
        <v>0</v>
      </c>
      <c r="M180" s="80">
        <f t="shared" si="34"/>
        <v>21278284.799366776</v>
      </c>
      <c r="N180" s="80">
        <f>SUM(M169:M180)</f>
        <v>249846709.06546438</v>
      </c>
      <c r="O180" s="80"/>
      <c r="P180"/>
    </row>
    <row r="181" spans="1:16" x14ac:dyDescent="0.2">
      <c r="E181" s="71"/>
    </row>
    <row r="192" spans="1:16" x14ac:dyDescent="0.2">
      <c r="P192" s="35"/>
    </row>
  </sheetData>
  <mergeCells count="3">
    <mergeCell ref="I1:L1"/>
    <mergeCell ref="G166:N166"/>
    <mergeCell ref="R148:S148"/>
  </mergeCells>
  <phoneticPr fontId="0" type="noConversion"/>
  <pageMargins left="0.38" right="0.75" top="0.73" bottom="0.74" header="0.5" footer="0.5"/>
  <pageSetup scale="3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2"/>
  <sheetViews>
    <sheetView topLeftCell="A160" workbookViewId="0">
      <selection activeCell="O9" sqref="O9"/>
    </sheetView>
  </sheetViews>
  <sheetFormatPr defaultRowHeight="12.75" x14ac:dyDescent="0.2"/>
  <cols>
    <col min="1" max="1" width="11.85546875" style="70" customWidth="1"/>
    <col min="2" max="3" width="18" style="71" customWidth="1"/>
    <col min="4" max="4" width="11.7109375" style="72" customWidth="1"/>
    <col min="5" max="5" width="13.42578125" style="72" customWidth="1"/>
    <col min="6" max="6" width="10.140625" style="72" customWidth="1"/>
    <col min="7" max="7" width="12.42578125" style="72" customWidth="1"/>
    <col min="8" max="8" width="14.42578125" style="90" hidden="1" customWidth="1"/>
    <col min="9" max="9" width="14.42578125" style="71" hidden="1" customWidth="1"/>
    <col min="10" max="11" width="12.42578125" style="72" hidden="1" customWidth="1"/>
    <col min="12" max="12" width="13" style="72" hidden="1" customWidth="1"/>
    <col min="13" max="13" width="13" style="72" customWidth="1"/>
    <col min="14" max="14" width="15.42578125" style="72" bestFit="1" customWidth="1"/>
    <col min="15" max="15" width="25.85546875" style="115" bestFit="1" customWidth="1"/>
    <col min="16" max="16" width="27.5703125" customWidth="1"/>
    <col min="17" max="17" width="20.7109375" customWidth="1"/>
    <col min="18" max="18" width="17.140625" customWidth="1"/>
    <col min="19" max="20" width="15.7109375" customWidth="1"/>
    <col min="21" max="21" width="15" customWidth="1"/>
    <col min="22" max="22" width="14.5703125" bestFit="1" customWidth="1"/>
    <col min="23" max="23" width="9.28515625" customWidth="1"/>
    <col min="24" max="24" width="25.85546875" bestFit="1" customWidth="1"/>
    <col min="25" max="25" width="11.7109375" bestFit="1" customWidth="1"/>
    <col min="26" max="26" width="10.7109375" bestFit="1" customWidth="1"/>
  </cols>
  <sheetData>
    <row r="1" spans="1:15" x14ac:dyDescent="0.2">
      <c r="H1" s="176"/>
      <c r="I1" s="383" t="s">
        <v>89</v>
      </c>
      <c r="J1" s="383"/>
      <c r="K1" s="383"/>
      <c r="L1" s="383"/>
    </row>
    <row r="2" spans="1:15" ht="42" customHeight="1" x14ac:dyDescent="0.2">
      <c r="B2" s="73" t="s">
        <v>0</v>
      </c>
      <c r="C2" s="74" t="s">
        <v>138</v>
      </c>
      <c r="D2" s="75" t="s">
        <v>3</v>
      </c>
      <c r="E2" s="75" t="s">
        <v>4</v>
      </c>
      <c r="F2" s="75" t="s">
        <v>5</v>
      </c>
      <c r="G2" s="75" t="s">
        <v>19</v>
      </c>
      <c r="H2" s="76" t="s">
        <v>7</v>
      </c>
      <c r="I2" s="75" t="s">
        <v>88</v>
      </c>
      <c r="J2" s="75" t="s">
        <v>63</v>
      </c>
      <c r="K2" s="75" t="s">
        <v>6</v>
      </c>
      <c r="L2" s="74" t="s">
        <v>90</v>
      </c>
      <c r="M2" s="75" t="s">
        <v>12</v>
      </c>
      <c r="N2" s="11" t="s">
        <v>13</v>
      </c>
      <c r="O2"/>
    </row>
    <row r="3" spans="1:15" ht="13.5" customHeight="1" x14ac:dyDescent="0.2">
      <c r="A3" s="77">
        <v>38718</v>
      </c>
      <c r="B3" s="83">
        <v>17495990</v>
      </c>
      <c r="C3" s="78">
        <v>0</v>
      </c>
      <c r="D3" s="89">
        <f>'Weather Analysis'!W8</f>
        <v>665.55</v>
      </c>
      <c r="E3" s="89">
        <f>'Weather Analysis'!W28</f>
        <v>0</v>
      </c>
      <c r="F3" s="79">
        <v>31</v>
      </c>
      <c r="G3" s="80">
        <v>0</v>
      </c>
      <c r="H3" s="84">
        <v>134.25197202423305</v>
      </c>
      <c r="I3" s="80">
        <v>1</v>
      </c>
      <c r="J3" s="81">
        <v>13536</v>
      </c>
      <c r="K3" s="80">
        <v>336.28800000000001</v>
      </c>
      <c r="L3" s="78">
        <f>'CDM Activity'!C21</f>
        <v>5477.4459188657574</v>
      </c>
      <c r="M3" s="80">
        <f>$P$18+C3*$P$19+D3*$P$20+E3*$P$21+F3*$P$22+G3*$P$23</f>
        <v>20315771.128040299</v>
      </c>
      <c r="N3"/>
      <c r="O3"/>
    </row>
    <row r="4" spans="1:15" ht="13.5" customHeight="1" x14ac:dyDescent="0.2">
      <c r="A4" s="77">
        <v>38749</v>
      </c>
      <c r="B4" s="83">
        <v>16164900</v>
      </c>
      <c r="C4" s="78">
        <v>0</v>
      </c>
      <c r="D4" s="89">
        <f>'Weather Analysis'!W9</f>
        <v>619.5</v>
      </c>
      <c r="E4" s="89">
        <f>'Weather Analysis'!W29</f>
        <v>0</v>
      </c>
      <c r="F4" s="79">
        <v>28</v>
      </c>
      <c r="G4" s="80">
        <v>0</v>
      </c>
      <c r="H4" s="84">
        <v>134.52850910550649</v>
      </c>
      <c r="I4" s="80">
        <v>2</v>
      </c>
      <c r="J4" s="81">
        <v>13543</v>
      </c>
      <c r="K4" s="80">
        <v>319.87200000000001</v>
      </c>
      <c r="L4" s="78">
        <f>'CDM Activity'!C22</f>
        <v>10954.891837731515</v>
      </c>
      <c r="M4" s="80">
        <f t="shared" ref="M4:M67" si="0">$P$18+C4*$P$19+D4*$P$20+E4*$P$21+F4*$P$22+G4*$P$23</f>
        <v>17984631.130284525</v>
      </c>
      <c r="N4" s="11"/>
      <c r="O4"/>
    </row>
    <row r="5" spans="1:15" ht="13.5" customHeight="1" x14ac:dyDescent="0.2">
      <c r="A5" s="77">
        <v>38777</v>
      </c>
      <c r="B5" s="83">
        <v>17164270</v>
      </c>
      <c r="C5" s="78">
        <v>0</v>
      </c>
      <c r="D5" s="89">
        <f>'Weather Analysis'!W10</f>
        <v>476.25000000000011</v>
      </c>
      <c r="E5" s="89">
        <f>'Weather Analysis'!W30</f>
        <v>0.6100000000000001</v>
      </c>
      <c r="F5" s="79">
        <v>31</v>
      </c>
      <c r="G5" s="80">
        <v>1</v>
      </c>
      <c r="H5" s="84">
        <v>134.80561580788986</v>
      </c>
      <c r="I5" s="80">
        <v>3</v>
      </c>
      <c r="J5" s="81">
        <v>13550</v>
      </c>
      <c r="K5" s="80">
        <v>368.28</v>
      </c>
      <c r="L5" s="78">
        <f>'CDM Activity'!C23</f>
        <v>16432.337756597273</v>
      </c>
      <c r="M5" s="80">
        <f t="shared" si="0"/>
        <v>18003935.023993921</v>
      </c>
      <c r="N5" s="11"/>
      <c r="O5"/>
    </row>
    <row r="6" spans="1:15" ht="13.5" customHeight="1" x14ac:dyDescent="0.2">
      <c r="A6" s="77">
        <v>38808</v>
      </c>
      <c r="B6" s="83">
        <v>14641220</v>
      </c>
      <c r="C6" s="78">
        <v>0</v>
      </c>
      <c r="D6" s="89">
        <f>'Weather Analysis'!W11</f>
        <v>258.87</v>
      </c>
      <c r="E6" s="89">
        <f>'Weather Analysis'!W31</f>
        <v>1.67</v>
      </c>
      <c r="F6" s="79">
        <v>30</v>
      </c>
      <c r="G6" s="80">
        <v>1</v>
      </c>
      <c r="H6" s="84">
        <v>135.08329330470943</v>
      </c>
      <c r="I6" s="80">
        <v>4</v>
      </c>
      <c r="J6" s="81">
        <v>13557</v>
      </c>
      <c r="K6" s="80">
        <v>303.83999999999997</v>
      </c>
      <c r="L6" s="78">
        <f>'CDM Activity'!C24</f>
        <v>21909.78367546303</v>
      </c>
      <c r="M6" s="80">
        <f t="shared" si="0"/>
        <v>15666388.890968153</v>
      </c>
      <c r="N6" s="11"/>
      <c r="O6"/>
    </row>
    <row r="7" spans="1:15" ht="13.5" customHeight="1" x14ac:dyDescent="0.2">
      <c r="A7" s="77">
        <v>38838</v>
      </c>
      <c r="B7" s="83">
        <v>13901070</v>
      </c>
      <c r="C7" s="78">
        <v>0</v>
      </c>
      <c r="D7" s="89">
        <f>'Weather Analysis'!W12</f>
        <v>92.039999999999992</v>
      </c>
      <c r="E7" s="89">
        <f>'Weather Analysis'!W32</f>
        <v>37.67</v>
      </c>
      <c r="F7" s="79">
        <v>31</v>
      </c>
      <c r="G7" s="80">
        <v>1</v>
      </c>
      <c r="H7" s="84">
        <v>135.36154277170829</v>
      </c>
      <c r="I7" s="80">
        <v>5</v>
      </c>
      <c r="J7" s="81">
        <v>13564</v>
      </c>
      <c r="K7" s="80">
        <v>351.91199999999998</v>
      </c>
      <c r="L7" s="78">
        <f>'CDM Activity'!C25</f>
        <v>27387.229594328786</v>
      </c>
      <c r="M7" s="80">
        <f t="shared" si="0"/>
        <v>16593695.288321367</v>
      </c>
      <c r="N7" s="11"/>
      <c r="O7"/>
    </row>
    <row r="8" spans="1:15" ht="13.5" customHeight="1" x14ac:dyDescent="0.2">
      <c r="A8" s="77">
        <v>38869</v>
      </c>
      <c r="B8" s="83">
        <v>17912530</v>
      </c>
      <c r="C8" s="78">
        <v>0</v>
      </c>
      <c r="D8" s="89">
        <f>'Weather Analysis'!W13</f>
        <v>11.260000000000002</v>
      </c>
      <c r="E8" s="89">
        <f>'Weather Analysis'!W33</f>
        <v>104.91000000000001</v>
      </c>
      <c r="F8" s="79">
        <v>30</v>
      </c>
      <c r="G8" s="80">
        <v>0</v>
      </c>
      <c r="H8" s="84">
        <v>135.64036538705133</v>
      </c>
      <c r="I8" s="80">
        <v>6</v>
      </c>
      <c r="J8" s="85">
        <f>'Rate Class Customer Model'!I4</f>
        <v>13570.617202616786</v>
      </c>
      <c r="K8" s="80">
        <v>352.08</v>
      </c>
      <c r="L8" s="78">
        <f>'CDM Activity'!C26</f>
        <v>32864.675513194547</v>
      </c>
      <c r="M8" s="80">
        <f t="shared" si="0"/>
        <v>19116925.403559692</v>
      </c>
      <c r="N8" s="11"/>
      <c r="O8"/>
    </row>
    <row r="9" spans="1:15" ht="13.5" customHeight="1" x14ac:dyDescent="0.2">
      <c r="A9" s="77">
        <v>38899</v>
      </c>
      <c r="B9" s="83">
        <v>22524750</v>
      </c>
      <c r="C9" s="78">
        <v>0</v>
      </c>
      <c r="D9" s="89">
        <f>'Weather Analysis'!W14</f>
        <v>0.93</v>
      </c>
      <c r="E9" s="89">
        <f>'Weather Analysis'!W34</f>
        <v>168.14</v>
      </c>
      <c r="F9" s="79">
        <v>31</v>
      </c>
      <c r="G9" s="80">
        <v>0</v>
      </c>
      <c r="H9" s="84">
        <v>135.9197623313303</v>
      </c>
      <c r="I9" s="80">
        <v>7</v>
      </c>
      <c r="J9" s="81">
        <f t="shared" ref="J9:J19" si="1">($J$20-$J$8)/12+J8</f>
        <v>13577.694731103533</v>
      </c>
      <c r="K9" s="80">
        <v>319.92</v>
      </c>
      <c r="L9" s="78">
        <f>'CDM Activity'!C27</f>
        <v>38342.121432060303</v>
      </c>
      <c r="M9" s="80">
        <f t="shared" si="0"/>
        <v>22499703.852290876</v>
      </c>
      <c r="N9" s="11"/>
      <c r="O9"/>
    </row>
    <row r="10" spans="1:15" ht="13.5" customHeight="1" x14ac:dyDescent="0.2">
      <c r="A10" s="77">
        <v>38930</v>
      </c>
      <c r="B10" s="83">
        <v>21130000</v>
      </c>
      <c r="C10" s="78">
        <v>0</v>
      </c>
      <c r="D10" s="89">
        <f>'Weather Analysis'!W15</f>
        <v>2.57</v>
      </c>
      <c r="E10" s="89">
        <f>'Weather Analysis'!W35</f>
        <v>138.56</v>
      </c>
      <c r="F10" s="79">
        <v>31</v>
      </c>
      <c r="G10" s="80">
        <v>0</v>
      </c>
      <c r="H10" s="84">
        <v>136.19973478756879</v>
      </c>
      <c r="I10" s="80">
        <v>8</v>
      </c>
      <c r="J10" s="81">
        <f t="shared" si="1"/>
        <v>13584.77225959028</v>
      </c>
      <c r="K10" s="80">
        <v>351.91199999999998</v>
      </c>
      <c r="L10" s="78">
        <f>'CDM Activity'!C28</f>
        <v>43819.56735092606</v>
      </c>
      <c r="M10" s="80">
        <f t="shared" si="0"/>
        <v>21198156.182872824</v>
      </c>
      <c r="N10" s="11"/>
      <c r="O10"/>
    </row>
    <row r="11" spans="1:15" ht="13.5" customHeight="1" x14ac:dyDescent="0.2">
      <c r="A11" s="77">
        <v>38961</v>
      </c>
      <c r="B11" s="83">
        <v>15286330</v>
      </c>
      <c r="C11" s="78">
        <v>0</v>
      </c>
      <c r="D11" s="89">
        <f>'Weather Analysis'!W16</f>
        <v>41.35</v>
      </c>
      <c r="E11" s="89">
        <f>'Weather Analysis'!W36</f>
        <v>52.5</v>
      </c>
      <c r="F11" s="79">
        <v>30</v>
      </c>
      <c r="G11" s="80">
        <v>1</v>
      </c>
      <c r="H11" s="84">
        <v>136.48028394122719</v>
      </c>
      <c r="I11" s="80">
        <v>9</v>
      </c>
      <c r="J11" s="81">
        <f t="shared" si="1"/>
        <v>13591.849788077026</v>
      </c>
      <c r="K11" s="80">
        <v>319.68</v>
      </c>
      <c r="L11" s="78">
        <f>'CDM Activity'!C29</f>
        <v>49297.013269791816</v>
      </c>
      <c r="M11" s="80">
        <f t="shared" si="0"/>
        <v>16194515.036696764</v>
      </c>
      <c r="N11" s="11"/>
      <c r="O11"/>
    </row>
    <row r="12" spans="1:15" ht="13.5" customHeight="1" x14ac:dyDescent="0.2">
      <c r="A12" s="77">
        <v>38991</v>
      </c>
      <c r="B12" s="83">
        <v>15621710</v>
      </c>
      <c r="C12" s="78">
        <v>0</v>
      </c>
      <c r="D12" s="89">
        <f>'Weather Analysis'!W17</f>
        <v>195.32</v>
      </c>
      <c r="E12" s="89">
        <f>'Weather Analysis'!W37</f>
        <v>7.5399999999999991</v>
      </c>
      <c r="F12" s="79">
        <v>31</v>
      </c>
      <c r="G12" s="80">
        <v>1</v>
      </c>
      <c r="H12" s="84">
        <v>136.76141098020776</v>
      </c>
      <c r="I12" s="80">
        <v>10</v>
      </c>
      <c r="J12" s="81">
        <f t="shared" si="1"/>
        <v>13598.927316563773</v>
      </c>
      <c r="K12" s="80">
        <v>336.28800000000001</v>
      </c>
      <c r="L12" s="78">
        <f>'CDM Activity'!C30</f>
        <v>54774.459188657573</v>
      </c>
      <c r="M12" s="80">
        <f t="shared" si="0"/>
        <v>16076481.806631194</v>
      </c>
      <c r="N12" s="11"/>
      <c r="O12"/>
    </row>
    <row r="13" spans="1:15" ht="13.5" customHeight="1" x14ac:dyDescent="0.2">
      <c r="A13" s="77">
        <v>39022</v>
      </c>
      <c r="B13" s="83">
        <v>19270390</v>
      </c>
      <c r="C13" s="78">
        <v>0</v>
      </c>
      <c r="D13" s="89">
        <f>'Weather Analysis'!W18</f>
        <v>380.09</v>
      </c>
      <c r="E13" s="89">
        <f>'Weather Analysis'!W38</f>
        <v>0</v>
      </c>
      <c r="F13" s="79">
        <v>30</v>
      </c>
      <c r="G13" s="80">
        <v>1</v>
      </c>
      <c r="H13" s="84">
        <v>137.04311709485967</v>
      </c>
      <c r="I13" s="80">
        <v>11</v>
      </c>
      <c r="J13" s="81">
        <f t="shared" si="1"/>
        <v>13606.00484505052</v>
      </c>
      <c r="K13" s="80">
        <v>352.08</v>
      </c>
      <c r="L13" s="78">
        <f>'CDM Activity'!C31</f>
        <v>60251.905107523329</v>
      </c>
      <c r="M13" s="80">
        <f t="shared" si="0"/>
        <v>16556751.344555443</v>
      </c>
      <c r="N13" s="11"/>
      <c r="O13"/>
    </row>
    <row r="14" spans="1:15" ht="13.5" customHeight="1" x14ac:dyDescent="0.2">
      <c r="A14" s="77">
        <v>39052</v>
      </c>
      <c r="B14" s="83">
        <v>22725770</v>
      </c>
      <c r="C14" s="78">
        <v>0</v>
      </c>
      <c r="D14" s="89">
        <f>'Weather Analysis'!W19</f>
        <v>546.31999999999994</v>
      </c>
      <c r="E14" s="89">
        <f>'Weather Analysis'!W39</f>
        <v>0</v>
      </c>
      <c r="F14" s="79">
        <v>31</v>
      </c>
      <c r="G14" s="80">
        <v>0</v>
      </c>
      <c r="H14" s="84">
        <v>137.32540347798411</v>
      </c>
      <c r="I14" s="80">
        <v>12</v>
      </c>
      <c r="J14" s="81">
        <f t="shared" si="1"/>
        <v>13613.082373537267</v>
      </c>
      <c r="K14" s="80">
        <v>304.29599999999999</v>
      </c>
      <c r="L14" s="78">
        <f>'CDM Activity'!C32</f>
        <v>65729.351026389093</v>
      </c>
      <c r="M14" s="80">
        <f t="shared" si="0"/>
        <v>19367025.327208217</v>
      </c>
      <c r="N14" s="11"/>
      <c r="O14"/>
    </row>
    <row r="15" spans="1:15" x14ac:dyDescent="0.2">
      <c r="A15" s="77">
        <v>39083</v>
      </c>
      <c r="B15" s="83">
        <v>23594230</v>
      </c>
      <c r="C15" s="83">
        <v>5640928.8553600004</v>
      </c>
      <c r="D15" s="89">
        <f>D3</f>
        <v>665.55</v>
      </c>
      <c r="E15" s="89">
        <f>E3</f>
        <v>0</v>
      </c>
      <c r="F15" s="79">
        <v>31</v>
      </c>
      <c r="G15" s="80">
        <v>0</v>
      </c>
      <c r="H15" s="84">
        <v>137.552207546647</v>
      </c>
      <c r="I15" s="80">
        <v>13</v>
      </c>
      <c r="J15" s="81">
        <f t="shared" si="1"/>
        <v>13620.159902024014</v>
      </c>
      <c r="K15" s="80">
        <v>351.91199999999998</v>
      </c>
      <c r="L15" s="78">
        <f>'CDM Activity'!C33</f>
        <v>71465.109706415606</v>
      </c>
      <c r="M15" s="80">
        <f t="shared" si="0"/>
        <v>23735182.207165055</v>
      </c>
      <c r="N15" s="9"/>
      <c r="O15"/>
    </row>
    <row r="16" spans="1:15" ht="13.5" thickBot="1" x14ac:dyDescent="0.25">
      <c r="A16" s="77">
        <v>39114</v>
      </c>
      <c r="B16" s="83">
        <v>23081780</v>
      </c>
      <c r="C16" s="83">
        <v>5726856.6157</v>
      </c>
      <c r="D16" s="89">
        <f t="shared" ref="D16:E79" si="2">D4</f>
        <v>619.5</v>
      </c>
      <c r="E16" s="89">
        <f t="shared" si="2"/>
        <v>0</v>
      </c>
      <c r="F16" s="79">
        <v>28</v>
      </c>
      <c r="G16" s="80">
        <v>0</v>
      </c>
      <c r="H16" s="84">
        <v>137.77938620066888</v>
      </c>
      <c r="I16" s="80">
        <v>14</v>
      </c>
      <c r="J16" s="81">
        <f t="shared" si="1"/>
        <v>13627.237430510761</v>
      </c>
      <c r="K16" s="80">
        <v>319.87200000000001</v>
      </c>
      <c r="L16" s="78">
        <f>'CDM Activity'!C34</f>
        <v>77200.868386442118</v>
      </c>
      <c r="M16" s="80">
        <f t="shared" si="0"/>
        <v>21456129.789884932</v>
      </c>
      <c r="N16" s="9"/>
      <c r="O16"/>
    </row>
    <row r="17" spans="1:21" x14ac:dyDescent="0.2">
      <c r="A17" s="77">
        <v>39142</v>
      </c>
      <c r="B17" s="83">
        <v>22044680</v>
      </c>
      <c r="C17" s="83">
        <v>5870658.413540001</v>
      </c>
      <c r="D17" s="89">
        <f t="shared" si="2"/>
        <v>476.25000000000011</v>
      </c>
      <c r="E17" s="89">
        <f t="shared" si="2"/>
        <v>0.6100000000000001</v>
      </c>
      <c r="F17" s="79">
        <v>31</v>
      </c>
      <c r="G17" s="80">
        <v>1</v>
      </c>
      <c r="H17" s="84">
        <v>138.00694005870795</v>
      </c>
      <c r="I17" s="80">
        <v>15</v>
      </c>
      <c r="J17" s="81">
        <f t="shared" si="1"/>
        <v>13634.314958997507</v>
      </c>
      <c r="K17" s="80">
        <v>351.91199999999998</v>
      </c>
      <c r="L17" s="78">
        <f>'CDM Activity'!C35</f>
        <v>82936.627066468631</v>
      </c>
      <c r="M17" s="80">
        <f t="shared" si="0"/>
        <v>21562603.274514612</v>
      </c>
      <c r="N17" s="9"/>
      <c r="O17" s="41"/>
      <c r="P17" s="41" t="s">
        <v>36</v>
      </c>
      <c r="Q17" s="41" t="s">
        <v>25</v>
      </c>
      <c r="R17" s="41" t="s">
        <v>37</v>
      </c>
      <c r="S17" s="41" t="s">
        <v>38</v>
      </c>
      <c r="T17" s="41" t="s">
        <v>39</v>
      </c>
      <c r="U17" s="41" t="s">
        <v>40</v>
      </c>
    </row>
    <row r="18" spans="1:21" x14ac:dyDescent="0.2">
      <c r="A18" s="77">
        <v>39173</v>
      </c>
      <c r="B18" s="83">
        <v>19604320</v>
      </c>
      <c r="C18" s="83">
        <v>6324876.1716799997</v>
      </c>
      <c r="D18" s="89">
        <f t="shared" si="2"/>
        <v>258.87</v>
      </c>
      <c r="E18" s="89">
        <f t="shared" si="2"/>
        <v>1.67</v>
      </c>
      <c r="F18" s="79">
        <v>30</v>
      </c>
      <c r="G18" s="80">
        <v>1</v>
      </c>
      <c r="H18" s="84">
        <v>138.23486974044414</v>
      </c>
      <c r="I18" s="80">
        <v>16</v>
      </c>
      <c r="J18" s="81">
        <f t="shared" si="1"/>
        <v>13641.392487484254</v>
      </c>
      <c r="K18" s="80">
        <v>319.68</v>
      </c>
      <c r="L18" s="78">
        <f>'CDM Activity'!C36</f>
        <v>88672.385746495143</v>
      </c>
      <c r="M18" s="80">
        <f t="shared" si="0"/>
        <v>19500394.284421127</v>
      </c>
      <c r="N18" s="9"/>
      <c r="O18" s="26" t="s">
        <v>30</v>
      </c>
      <c r="P18" s="157">
        <v>-5282170.4279399617</v>
      </c>
      <c r="Q18" s="155">
        <v>3277944.1108981585</v>
      </c>
      <c r="R18" s="155">
        <v>-1.6114278490528151</v>
      </c>
      <c r="S18" s="155">
        <v>0.10985180076879106</v>
      </c>
      <c r="T18" s="155">
        <v>-11775752.464824541</v>
      </c>
      <c r="U18" s="155">
        <v>1211411.6089446172</v>
      </c>
    </row>
    <row r="19" spans="1:21" x14ac:dyDescent="0.2">
      <c r="A19" s="77">
        <v>39203</v>
      </c>
      <c r="B19" s="83">
        <v>20629530</v>
      </c>
      <c r="C19" s="83">
        <v>6479920.0236</v>
      </c>
      <c r="D19" s="89">
        <f t="shared" si="2"/>
        <v>92.039999999999992</v>
      </c>
      <c r="E19" s="89">
        <f t="shared" si="2"/>
        <v>37.67</v>
      </c>
      <c r="F19" s="79">
        <v>31</v>
      </c>
      <c r="G19" s="80">
        <v>1</v>
      </c>
      <c r="H19" s="84">
        <v>138.46317586658083</v>
      </c>
      <c r="I19" s="80">
        <v>17</v>
      </c>
      <c r="J19" s="81">
        <f t="shared" si="1"/>
        <v>13648.470015971001</v>
      </c>
      <c r="K19" s="80">
        <v>351.91199999999998</v>
      </c>
      <c r="L19" s="78">
        <f>'CDM Activity'!C37</f>
        <v>94408.144426521656</v>
      </c>
      <c r="M19" s="80">
        <f t="shared" si="0"/>
        <v>20521684.96673863</v>
      </c>
      <c r="N19" s="9"/>
      <c r="O19" s="26" t="s">
        <v>138</v>
      </c>
      <c r="P19" s="157">
        <v>0.60617872814964491</v>
      </c>
      <c r="Q19" s="155">
        <v>5.4541288772621127E-2</v>
      </c>
      <c r="R19" s="155">
        <v>11.114125496314585</v>
      </c>
      <c r="S19" s="155">
        <v>6.9086728434799752E-20</v>
      </c>
      <c r="T19" s="155">
        <v>0.4981328551694052</v>
      </c>
      <c r="U19" s="155">
        <v>0.71422460112988462</v>
      </c>
    </row>
    <row r="20" spans="1:21" x14ac:dyDescent="0.2">
      <c r="A20" s="77">
        <v>39234</v>
      </c>
      <c r="B20" s="83">
        <v>23858190</v>
      </c>
      <c r="C20" s="83">
        <v>6947011.5188399991</v>
      </c>
      <c r="D20" s="89">
        <f t="shared" si="2"/>
        <v>11.260000000000002</v>
      </c>
      <c r="E20" s="89">
        <f t="shared" si="2"/>
        <v>104.91000000000001</v>
      </c>
      <c r="F20" s="79">
        <v>30</v>
      </c>
      <c r="G20" s="80">
        <v>0</v>
      </c>
      <c r="H20" s="84">
        <v>138.69185905884657</v>
      </c>
      <c r="I20" s="80">
        <v>18</v>
      </c>
      <c r="J20" s="85">
        <f>'Rate Class Customer Model'!I5</f>
        <v>13655.547544457753</v>
      </c>
      <c r="K20" s="80">
        <v>336.24</v>
      </c>
      <c r="L20" s="78">
        <f>'CDM Activity'!C38</f>
        <v>100143.90310654817</v>
      </c>
      <c r="M20" s="80">
        <f t="shared" si="0"/>
        <v>23328056.010491055</v>
      </c>
      <c r="N20" s="9"/>
      <c r="O20" s="26" t="s">
        <v>3</v>
      </c>
      <c r="P20" s="157">
        <v>7957.2741829412253</v>
      </c>
      <c r="Q20" s="155">
        <v>696.91680702690587</v>
      </c>
      <c r="R20" s="155">
        <v>11.417825058470743</v>
      </c>
      <c r="S20" s="155">
        <v>1.3518720985311954E-20</v>
      </c>
      <c r="T20" s="155">
        <v>6576.6873558909965</v>
      </c>
      <c r="U20" s="155">
        <v>9337.8610099914549</v>
      </c>
    </row>
    <row r="21" spans="1:21" x14ac:dyDescent="0.2">
      <c r="A21" s="77">
        <v>39264</v>
      </c>
      <c r="B21" s="83">
        <v>24738400</v>
      </c>
      <c r="C21" s="83">
        <v>4986922.7311199997</v>
      </c>
      <c r="D21" s="89">
        <f t="shared" si="2"/>
        <v>0.93</v>
      </c>
      <c r="E21" s="89">
        <f t="shared" si="2"/>
        <v>168.14</v>
      </c>
      <c r="F21" s="79">
        <v>31</v>
      </c>
      <c r="G21" s="80">
        <v>0</v>
      </c>
      <c r="H21" s="84">
        <v>138.92091993999671</v>
      </c>
      <c r="I21" s="80">
        <v>19</v>
      </c>
      <c r="J21" s="81">
        <f t="shared" ref="J21:J31" si="3">($J$32-$J$20)/12+J20</f>
        <v>13658.960863355755</v>
      </c>
      <c r="K21" s="80">
        <v>336.28800000000001</v>
      </c>
      <c r="L21" s="78">
        <f>'CDM Activity'!C39</f>
        <v>105879.66178657468</v>
      </c>
      <c r="M21" s="80">
        <f t="shared" si="0"/>
        <v>25522670.330821753</v>
      </c>
      <c r="N21" s="9"/>
      <c r="O21" s="26" t="s">
        <v>4</v>
      </c>
      <c r="P21" s="157">
        <v>44442.1095023015</v>
      </c>
      <c r="Q21" s="155">
        <v>3124.4234967447837</v>
      </c>
      <c r="R21" s="155">
        <v>14.224099117358456</v>
      </c>
      <c r="S21" s="155">
        <v>5.0519456272116903E-27</v>
      </c>
      <c r="T21" s="155">
        <v>38252.650619635278</v>
      </c>
      <c r="U21" s="155">
        <v>50631.568384967723</v>
      </c>
    </row>
    <row r="22" spans="1:21" x14ac:dyDescent="0.2">
      <c r="A22" s="77">
        <v>39295</v>
      </c>
      <c r="B22" s="83">
        <v>26868930</v>
      </c>
      <c r="C22" s="83">
        <v>5337196.0046000006</v>
      </c>
      <c r="D22" s="89">
        <f t="shared" si="2"/>
        <v>2.57</v>
      </c>
      <c r="E22" s="89">
        <f t="shared" si="2"/>
        <v>138.56</v>
      </c>
      <c r="F22" s="79">
        <v>31</v>
      </c>
      <c r="G22" s="80">
        <v>0</v>
      </c>
      <c r="H22" s="84">
        <v>139.15035913381516</v>
      </c>
      <c r="I22" s="80">
        <v>20</v>
      </c>
      <c r="J22" s="81">
        <f t="shared" si="3"/>
        <v>13662.374182253756</v>
      </c>
      <c r="K22" s="80">
        <v>351.91199999999998</v>
      </c>
      <c r="L22" s="78">
        <f>'CDM Activity'!C40</f>
        <v>111615.42046660119</v>
      </c>
      <c r="M22" s="80">
        <f t="shared" si="0"/>
        <v>24433450.868826617</v>
      </c>
      <c r="N22" s="9"/>
      <c r="O22" s="26" t="s">
        <v>5</v>
      </c>
      <c r="P22" s="157">
        <v>654902.5072104428</v>
      </c>
      <c r="Q22" s="155">
        <v>107876.65295204053</v>
      </c>
      <c r="R22" s="155">
        <v>6.0708456305332099</v>
      </c>
      <c r="S22" s="155">
        <v>1.7112202775490956E-8</v>
      </c>
      <c r="T22" s="155">
        <v>441199.68858103571</v>
      </c>
      <c r="U22" s="155">
        <v>868605.32583984989</v>
      </c>
    </row>
    <row r="23" spans="1:21" ht="13.5" thickBot="1" x14ac:dyDescent="0.25">
      <c r="A23" s="77">
        <v>39326</v>
      </c>
      <c r="B23" s="83">
        <v>21805090</v>
      </c>
      <c r="C23" s="83">
        <v>5816997.7248800006</v>
      </c>
      <c r="D23" s="89">
        <f t="shared" si="2"/>
        <v>41.35</v>
      </c>
      <c r="E23" s="89">
        <f t="shared" si="2"/>
        <v>52.5</v>
      </c>
      <c r="F23" s="79">
        <v>30</v>
      </c>
      <c r="G23" s="80">
        <v>1</v>
      </c>
      <c r="H23" s="84">
        <v>139.38017726511606</v>
      </c>
      <c r="I23" s="80">
        <v>21</v>
      </c>
      <c r="J23" s="81">
        <f t="shared" si="3"/>
        <v>13665.787501151757</v>
      </c>
      <c r="K23" s="80">
        <v>303.83999999999997</v>
      </c>
      <c r="L23" s="78">
        <f>'CDM Activity'!C41</f>
        <v>117351.17914662771</v>
      </c>
      <c r="M23" s="80">
        <f t="shared" si="0"/>
        <v>19720655.319213897</v>
      </c>
      <c r="N23" s="9"/>
      <c r="O23" s="40" t="s">
        <v>19</v>
      </c>
      <c r="P23" s="158">
        <v>-832633.78801200737</v>
      </c>
      <c r="Q23" s="156">
        <v>265087.08877840755</v>
      </c>
      <c r="R23" s="156">
        <v>-3.1409820517815761</v>
      </c>
      <c r="S23" s="156">
        <v>2.1452850926757046E-3</v>
      </c>
      <c r="T23" s="156">
        <v>-1357769.2691748757</v>
      </c>
      <c r="U23" s="156">
        <v>-307498.30684913904</v>
      </c>
    </row>
    <row r="24" spans="1:21" x14ac:dyDescent="0.2">
      <c r="A24" s="77">
        <v>39356</v>
      </c>
      <c r="B24" s="83">
        <v>20415380</v>
      </c>
      <c r="C24" s="83">
        <v>4576724.3739799997</v>
      </c>
      <c r="D24" s="89">
        <f t="shared" si="2"/>
        <v>195.32</v>
      </c>
      <c r="E24" s="89">
        <f t="shared" si="2"/>
        <v>7.5399999999999991</v>
      </c>
      <c r="F24" s="79">
        <v>31</v>
      </c>
      <c r="G24" s="80">
        <v>1</v>
      </c>
      <c r="H24" s="84">
        <v>139.61037495974546</v>
      </c>
      <c r="I24" s="80">
        <v>22</v>
      </c>
      <c r="J24" s="81">
        <f t="shared" si="3"/>
        <v>13669.200820049758</v>
      </c>
      <c r="K24" s="80">
        <v>351.91199999999998</v>
      </c>
      <c r="L24" s="78">
        <f>'CDM Activity'!C42</f>
        <v>123086.93782665422</v>
      </c>
      <c r="M24" s="80">
        <f t="shared" si="0"/>
        <v>18850794.766741868</v>
      </c>
      <c r="N24" s="9"/>
    </row>
    <row r="25" spans="1:21" x14ac:dyDescent="0.2">
      <c r="A25" s="77">
        <v>39387</v>
      </c>
      <c r="B25" s="83">
        <v>20794820</v>
      </c>
      <c r="C25" s="83">
        <v>4310941.5416200003</v>
      </c>
      <c r="D25" s="89">
        <f t="shared" si="2"/>
        <v>380.09</v>
      </c>
      <c r="E25" s="89">
        <f t="shared" si="2"/>
        <v>0</v>
      </c>
      <c r="F25" s="79">
        <v>30</v>
      </c>
      <c r="G25" s="80">
        <v>1</v>
      </c>
      <c r="H25" s="84">
        <v>139.84095284458306</v>
      </c>
      <c r="I25" s="80">
        <v>23</v>
      </c>
      <c r="J25" s="81">
        <f t="shared" si="3"/>
        <v>13672.61413894776</v>
      </c>
      <c r="K25" s="80">
        <v>352.08</v>
      </c>
      <c r="L25" s="78">
        <f>'CDM Activity'!C43</f>
        <v>128822.69650668073</v>
      </c>
      <c r="M25" s="80">
        <f t="shared" si="0"/>
        <v>19169952.405382123</v>
      </c>
      <c r="N25" s="9"/>
    </row>
    <row r="26" spans="1:21" x14ac:dyDescent="0.2">
      <c r="A26" s="77">
        <v>39417</v>
      </c>
      <c r="B26" s="83">
        <v>23640870</v>
      </c>
      <c r="C26" s="83">
        <v>5649229.7246400006</v>
      </c>
      <c r="D26" s="89">
        <f t="shared" si="2"/>
        <v>546.31999999999994</v>
      </c>
      <c r="E26" s="89">
        <f t="shared" si="2"/>
        <v>0</v>
      </c>
      <c r="F26" s="79">
        <v>31</v>
      </c>
      <c r="G26" s="80">
        <v>0</v>
      </c>
      <c r="H26" s="84">
        <v>140.07191154754381</v>
      </c>
      <c r="I26" s="80">
        <v>24</v>
      </c>
      <c r="J26" s="81">
        <f t="shared" si="3"/>
        <v>13676.027457845761</v>
      </c>
      <c r="K26" s="80">
        <v>304.29599999999999</v>
      </c>
      <c r="L26" s="78">
        <f>'CDM Activity'!C44</f>
        <v>134558.45518670726</v>
      </c>
      <c r="M26" s="80">
        <f t="shared" si="0"/>
        <v>22791468.21671566</v>
      </c>
      <c r="N26" s="9"/>
      <c r="O26"/>
    </row>
    <row r="27" spans="1:21" x14ac:dyDescent="0.2">
      <c r="A27" s="77">
        <v>39448</v>
      </c>
      <c r="B27" s="79">
        <v>24088720</v>
      </c>
      <c r="C27" s="83">
        <v>5752803.102</v>
      </c>
      <c r="D27" s="89">
        <f t="shared" si="2"/>
        <v>665.55</v>
      </c>
      <c r="E27" s="89">
        <f t="shared" si="2"/>
        <v>0</v>
      </c>
      <c r="F27" s="79">
        <v>31</v>
      </c>
      <c r="G27" s="80">
        <v>0</v>
      </c>
      <c r="H27" s="87">
        <v>139.96642175819056</v>
      </c>
      <c r="I27" s="80">
        <v>25</v>
      </c>
      <c r="J27" s="81">
        <f t="shared" si="3"/>
        <v>13679.440776743762</v>
      </c>
      <c r="K27" s="88">
        <v>352</v>
      </c>
      <c r="L27" s="78">
        <f>'CDM Activity'!C45</f>
        <v>134126.2778848157</v>
      </c>
      <c r="M27" s="80">
        <f t="shared" si="0"/>
        <v>23802997.995705992</v>
      </c>
      <c r="N27" s="9"/>
      <c r="O27"/>
    </row>
    <row r="28" spans="1:21" x14ac:dyDescent="0.2">
      <c r="A28" s="77">
        <v>39479</v>
      </c>
      <c r="B28" s="79">
        <v>22590240</v>
      </c>
      <c r="C28" s="83">
        <v>5767472.2287599994</v>
      </c>
      <c r="D28" s="89">
        <f t="shared" si="2"/>
        <v>619.5</v>
      </c>
      <c r="E28" s="89">
        <f t="shared" si="2"/>
        <v>0</v>
      </c>
      <c r="F28" s="79">
        <v>29</v>
      </c>
      <c r="G28" s="80">
        <v>0</v>
      </c>
      <c r="H28" s="87">
        <v>139.86101141442734</v>
      </c>
      <c r="I28" s="80">
        <v>26</v>
      </c>
      <c r="J28" s="81">
        <f t="shared" si="3"/>
        <v>13682.854095641764</v>
      </c>
      <c r="K28" s="88">
        <v>320</v>
      </c>
      <c r="L28" s="78">
        <f>'CDM Activity'!C46</f>
        <v>133694.10058292415</v>
      </c>
      <c r="M28" s="80">
        <f t="shared" si="0"/>
        <v>22135652.617763102</v>
      </c>
      <c r="N28" s="9"/>
      <c r="O28"/>
    </row>
    <row r="29" spans="1:21" x14ac:dyDescent="0.2">
      <c r="A29" s="77">
        <v>39508</v>
      </c>
      <c r="B29" s="79">
        <v>22046700</v>
      </c>
      <c r="C29" s="83">
        <v>5473594.7252799999</v>
      </c>
      <c r="D29" s="89">
        <f t="shared" si="2"/>
        <v>476.25000000000011</v>
      </c>
      <c r="E29" s="89">
        <f t="shared" si="2"/>
        <v>0.6100000000000001</v>
      </c>
      <c r="F29" s="79">
        <v>31</v>
      </c>
      <c r="G29" s="80">
        <v>1</v>
      </c>
      <c r="H29" s="87">
        <v>139.75568045642274</v>
      </c>
      <c r="I29" s="80">
        <v>27</v>
      </c>
      <c r="J29" s="81">
        <f t="shared" si="3"/>
        <v>13686.267414539765</v>
      </c>
      <c r="K29" s="88">
        <v>304</v>
      </c>
      <c r="L29" s="78">
        <f>'CDM Activity'!C47</f>
        <v>133261.92328103259</v>
      </c>
      <c r="M29" s="80">
        <f t="shared" si="0"/>
        <v>21321911.712970756</v>
      </c>
      <c r="N29" s="9"/>
      <c r="O29"/>
    </row>
    <row r="30" spans="1:21" x14ac:dyDescent="0.2">
      <c r="A30" s="77">
        <v>39539</v>
      </c>
      <c r="B30" s="79">
        <v>18811030</v>
      </c>
      <c r="C30" s="83">
        <v>5298991.7349999994</v>
      </c>
      <c r="D30" s="89">
        <f t="shared" si="2"/>
        <v>258.87</v>
      </c>
      <c r="E30" s="89">
        <f t="shared" si="2"/>
        <v>1.67</v>
      </c>
      <c r="F30" s="79">
        <v>30</v>
      </c>
      <c r="G30" s="80">
        <v>1</v>
      </c>
      <c r="H30" s="87">
        <v>139.65042882439042</v>
      </c>
      <c r="I30" s="80">
        <v>28</v>
      </c>
      <c r="J30" s="81">
        <f t="shared" si="3"/>
        <v>13689.680733437766</v>
      </c>
      <c r="K30" s="88">
        <v>352</v>
      </c>
      <c r="L30" s="78">
        <f>'CDM Activity'!C48</f>
        <v>132829.74597914104</v>
      </c>
      <c r="M30" s="80">
        <f t="shared" si="0"/>
        <v>18878524.961365931</v>
      </c>
      <c r="N30" s="9"/>
      <c r="O30"/>
    </row>
    <row r="31" spans="1:21" x14ac:dyDescent="0.2">
      <c r="A31" s="77">
        <v>39569</v>
      </c>
      <c r="B31" s="79">
        <v>18644710</v>
      </c>
      <c r="C31" s="83">
        <v>4060756.2636800003</v>
      </c>
      <c r="D31" s="89">
        <f t="shared" si="2"/>
        <v>92.039999999999992</v>
      </c>
      <c r="E31" s="89">
        <f t="shared" si="2"/>
        <v>37.67</v>
      </c>
      <c r="F31" s="79">
        <v>31</v>
      </c>
      <c r="G31" s="80">
        <v>1</v>
      </c>
      <c r="H31" s="87">
        <v>139.54525645858905</v>
      </c>
      <c r="I31" s="80">
        <v>29</v>
      </c>
      <c r="J31" s="81">
        <f t="shared" si="3"/>
        <v>13693.094052335768</v>
      </c>
      <c r="K31" s="88">
        <v>336</v>
      </c>
      <c r="L31" s="78">
        <f>'CDM Activity'!C49</f>
        <v>132397.56867724948</v>
      </c>
      <c r="M31" s="80">
        <f t="shared" si="0"/>
        <v>19055239.355564613</v>
      </c>
      <c r="N31" s="9"/>
      <c r="O31"/>
    </row>
    <row r="32" spans="1:21" x14ac:dyDescent="0.2">
      <c r="A32" s="77">
        <v>39600</v>
      </c>
      <c r="B32" s="79">
        <v>22711700</v>
      </c>
      <c r="C32" s="83">
        <v>3930548.8623999991</v>
      </c>
      <c r="D32" s="89">
        <f t="shared" si="2"/>
        <v>11.260000000000002</v>
      </c>
      <c r="E32" s="89">
        <f t="shared" si="2"/>
        <v>104.91000000000001</v>
      </c>
      <c r="F32" s="79">
        <v>30</v>
      </c>
      <c r="G32" s="80">
        <v>0</v>
      </c>
      <c r="H32" s="87">
        <v>139.44016329932234</v>
      </c>
      <c r="I32" s="80">
        <v>30</v>
      </c>
      <c r="J32" s="85">
        <f>'Rate Class Customer Model'!I6</f>
        <v>13696.50737123376</v>
      </c>
      <c r="K32" s="88">
        <v>336</v>
      </c>
      <c r="L32" s="78">
        <f>'CDM Activity'!C50</f>
        <v>131965.39137535793</v>
      </c>
      <c r="M32" s="80">
        <f t="shared" si="0"/>
        <v>21499540.513899356</v>
      </c>
      <c r="N32" s="9"/>
      <c r="O32"/>
    </row>
    <row r="33" spans="1:15" x14ac:dyDescent="0.2">
      <c r="A33" s="77">
        <v>39630</v>
      </c>
      <c r="B33" s="79">
        <v>26419990</v>
      </c>
      <c r="C33" s="83">
        <v>4720571.4441000009</v>
      </c>
      <c r="D33" s="89">
        <f t="shared" si="2"/>
        <v>0.93</v>
      </c>
      <c r="E33" s="89">
        <f t="shared" si="2"/>
        <v>168.14</v>
      </c>
      <c r="F33" s="79">
        <v>31</v>
      </c>
      <c r="G33" s="80">
        <v>0</v>
      </c>
      <c r="H33" s="87">
        <v>139.3351492869389</v>
      </c>
      <c r="I33" s="80">
        <v>31</v>
      </c>
      <c r="J33" s="81">
        <f t="shared" ref="J33:J43" si="4">($J$44-$J$32)/12+J32</f>
        <v>13707.048423630946</v>
      </c>
      <c r="K33" s="88">
        <v>352</v>
      </c>
      <c r="L33" s="78">
        <f>'CDM Activity'!C51</f>
        <v>131533.21407346637</v>
      </c>
      <c r="M33" s="80">
        <f t="shared" si="0"/>
        <v>25361213.846414946</v>
      </c>
      <c r="N33" s="9"/>
      <c r="O33"/>
    </row>
    <row r="34" spans="1:15" x14ac:dyDescent="0.2">
      <c r="A34" s="77">
        <v>39661</v>
      </c>
      <c r="B34" s="79">
        <v>24364410</v>
      </c>
      <c r="C34" s="83">
        <v>5792960.7385999998</v>
      </c>
      <c r="D34" s="89">
        <f t="shared" si="2"/>
        <v>2.57</v>
      </c>
      <c r="E34" s="89">
        <f t="shared" si="2"/>
        <v>138.56</v>
      </c>
      <c r="F34" s="79">
        <v>31</v>
      </c>
      <c r="G34" s="80">
        <v>0</v>
      </c>
      <c r="H34" s="87">
        <v>139.23021436183228</v>
      </c>
      <c r="I34" s="80">
        <v>32</v>
      </c>
      <c r="J34" s="81">
        <f t="shared" si="4"/>
        <v>13717.589476028132</v>
      </c>
      <c r="K34" s="88">
        <v>320</v>
      </c>
      <c r="L34" s="78">
        <f>'CDM Activity'!C52</f>
        <v>131101.03677157481</v>
      </c>
      <c r="M34" s="80">
        <f t="shared" si="0"/>
        <v>24709725.7556182</v>
      </c>
      <c r="N34" s="9"/>
      <c r="O34"/>
    </row>
    <row r="35" spans="1:15" x14ac:dyDescent="0.2">
      <c r="A35" s="77">
        <v>39692</v>
      </c>
      <c r="B35" s="79">
        <v>20565410</v>
      </c>
      <c r="C35" s="83">
        <v>5288547.1129999999</v>
      </c>
      <c r="D35" s="89">
        <f t="shared" si="2"/>
        <v>41.35</v>
      </c>
      <c r="E35" s="89">
        <f t="shared" si="2"/>
        <v>52.5</v>
      </c>
      <c r="F35" s="79">
        <v>30</v>
      </c>
      <c r="G35" s="80">
        <v>1</v>
      </c>
      <c r="H35" s="87">
        <v>139.12535846444095</v>
      </c>
      <c r="I35" s="80">
        <v>33</v>
      </c>
      <c r="J35" s="81">
        <f t="shared" si="4"/>
        <v>13728.130528425318</v>
      </c>
      <c r="K35" s="88">
        <v>336</v>
      </c>
      <c r="L35" s="78">
        <f>'CDM Activity'!C53</f>
        <v>130668.85946968327</v>
      </c>
      <c r="M35" s="80">
        <f t="shared" si="0"/>
        <v>19400319.799414579</v>
      </c>
      <c r="N35" s="9"/>
      <c r="O35"/>
    </row>
    <row r="36" spans="1:15" x14ac:dyDescent="0.2">
      <c r="A36" s="77">
        <v>39722</v>
      </c>
      <c r="B36" s="79">
        <v>18777310</v>
      </c>
      <c r="C36" s="83">
        <v>4350378.1295999996</v>
      </c>
      <c r="D36" s="89">
        <f t="shared" si="2"/>
        <v>195.32</v>
      </c>
      <c r="E36" s="89">
        <f t="shared" si="2"/>
        <v>7.5399999999999991</v>
      </c>
      <c r="F36" s="79">
        <v>31</v>
      </c>
      <c r="G36" s="80">
        <v>1</v>
      </c>
      <c r="H36" s="87">
        <v>139.02058153524823</v>
      </c>
      <c r="I36" s="80">
        <v>34</v>
      </c>
      <c r="J36" s="81">
        <f t="shared" si="4"/>
        <v>13738.671580822504</v>
      </c>
      <c r="K36" s="88">
        <v>352</v>
      </c>
      <c r="L36" s="78">
        <f>'CDM Activity'!C54</f>
        <v>130236.68216779173</v>
      </c>
      <c r="M36" s="80">
        <f t="shared" si="0"/>
        <v>18713588.488202151</v>
      </c>
      <c r="N36" s="9"/>
      <c r="O36"/>
    </row>
    <row r="37" spans="1:15" x14ac:dyDescent="0.2">
      <c r="A37" s="77">
        <v>39753</v>
      </c>
      <c r="B37" s="79">
        <v>20094850</v>
      </c>
      <c r="C37" s="83">
        <v>4205455.8103999998</v>
      </c>
      <c r="D37" s="89">
        <f t="shared" si="2"/>
        <v>380.09</v>
      </c>
      <c r="E37" s="89">
        <f t="shared" si="2"/>
        <v>0</v>
      </c>
      <c r="F37" s="79">
        <v>30</v>
      </c>
      <c r="G37" s="80">
        <v>1</v>
      </c>
      <c r="H37" s="87">
        <v>138.91588351478222</v>
      </c>
      <c r="I37" s="80">
        <v>35</v>
      </c>
      <c r="J37" s="81">
        <f t="shared" si="4"/>
        <v>13749.212633219689</v>
      </c>
      <c r="K37" s="88">
        <v>304</v>
      </c>
      <c r="L37" s="78">
        <f>'CDM Activity'!C55</f>
        <v>129804.50486590019</v>
      </c>
      <c r="M37" s="80">
        <f t="shared" si="0"/>
        <v>19106009.198993251</v>
      </c>
      <c r="N37" s="9"/>
      <c r="O37"/>
    </row>
    <row r="38" spans="1:15" x14ac:dyDescent="0.2">
      <c r="A38" s="77">
        <v>39783</v>
      </c>
      <c r="B38" s="79">
        <v>23525530</v>
      </c>
      <c r="C38" s="83">
        <v>4666743.4814999998</v>
      </c>
      <c r="D38" s="89">
        <f t="shared" si="2"/>
        <v>546.31999999999994</v>
      </c>
      <c r="E38" s="89">
        <f t="shared" si="2"/>
        <v>0</v>
      </c>
      <c r="F38" s="79">
        <v>31</v>
      </c>
      <c r="G38" s="80">
        <v>0</v>
      </c>
      <c r="H38" s="87">
        <v>138.8112643436159</v>
      </c>
      <c r="I38" s="80">
        <v>36</v>
      </c>
      <c r="J38" s="81">
        <f t="shared" si="4"/>
        <v>13759.753685616875</v>
      </c>
      <c r="K38" s="88">
        <v>336</v>
      </c>
      <c r="L38" s="78">
        <f>'CDM Activity'!C56</f>
        <v>129372.32756400865</v>
      </c>
      <c r="M38" s="80">
        <f t="shared" si="0"/>
        <v>22195905.955424532</v>
      </c>
      <c r="N38" s="9"/>
      <c r="O38"/>
    </row>
    <row r="39" spans="1:15" x14ac:dyDescent="0.2">
      <c r="A39" s="77">
        <v>39814</v>
      </c>
      <c r="B39" s="83">
        <v>24531230</v>
      </c>
      <c r="C39" s="83">
        <v>5986418.2281999998</v>
      </c>
      <c r="D39" s="89">
        <f t="shared" si="2"/>
        <v>665.55</v>
      </c>
      <c r="E39" s="89">
        <f t="shared" si="2"/>
        <v>0</v>
      </c>
      <c r="F39" s="79">
        <v>31</v>
      </c>
      <c r="G39" s="80">
        <v>0</v>
      </c>
      <c r="H39" s="87">
        <v>138.43555825854429</v>
      </c>
      <c r="I39" s="80">
        <v>37</v>
      </c>
      <c r="J39" s="81">
        <f t="shared" si="4"/>
        <v>13770.294738014061</v>
      </c>
      <c r="K39" s="88">
        <v>336</v>
      </c>
      <c r="L39" s="78">
        <f>'CDM Activity'!C57</f>
        <v>141487.84721001808</v>
      </c>
      <c r="M39" s="80">
        <f t="shared" si="0"/>
        <v>23944610.515782427</v>
      </c>
      <c r="N39" s="115"/>
      <c r="O39"/>
    </row>
    <row r="40" spans="1:15" x14ac:dyDescent="0.2">
      <c r="A40" s="77">
        <v>39845</v>
      </c>
      <c r="B40" s="83">
        <v>20746930</v>
      </c>
      <c r="C40" s="83">
        <v>6228643.7355999993</v>
      </c>
      <c r="D40" s="89">
        <f t="shared" si="2"/>
        <v>619.5</v>
      </c>
      <c r="E40" s="89">
        <f t="shared" si="2"/>
        <v>0</v>
      </c>
      <c r="F40" s="79">
        <v>28</v>
      </c>
      <c r="G40" s="80">
        <v>0</v>
      </c>
      <c r="H40" s="87">
        <v>138.06086905825526</v>
      </c>
      <c r="I40" s="80">
        <v>38</v>
      </c>
      <c r="J40" s="81">
        <f t="shared" si="4"/>
        <v>13780.835790411247</v>
      </c>
      <c r="K40" s="88">
        <v>304</v>
      </c>
      <c r="L40" s="78">
        <f>'CDM Activity'!C58</f>
        <v>153603.36685602751</v>
      </c>
      <c r="M40" s="80">
        <f t="shared" si="0"/>
        <v>21760302.468027785</v>
      </c>
      <c r="N40" s="115"/>
      <c r="O40"/>
    </row>
    <row r="41" spans="1:15" x14ac:dyDescent="0.2">
      <c r="A41" s="77">
        <v>39873</v>
      </c>
      <c r="B41" s="83">
        <v>20762810</v>
      </c>
      <c r="C41" s="83">
        <v>5113039.1959999995</v>
      </c>
      <c r="D41" s="89">
        <f t="shared" si="2"/>
        <v>476.25000000000011</v>
      </c>
      <c r="E41" s="89">
        <f t="shared" si="2"/>
        <v>0.6100000000000001</v>
      </c>
      <c r="F41" s="79">
        <v>31</v>
      </c>
      <c r="G41" s="80">
        <v>1</v>
      </c>
      <c r="H41" s="87">
        <v>137.68719399045199</v>
      </c>
      <c r="I41" s="80">
        <v>39</v>
      </c>
      <c r="J41" s="81">
        <f t="shared" si="4"/>
        <v>13791.376842808433</v>
      </c>
      <c r="K41" s="88">
        <v>352</v>
      </c>
      <c r="L41" s="78">
        <f>'CDM Activity'!C59</f>
        <v>165718.88650203694</v>
      </c>
      <c r="M41" s="80">
        <f t="shared" si="0"/>
        <v>21103350.620804485</v>
      </c>
      <c r="N41" s="115"/>
      <c r="O41"/>
    </row>
    <row r="42" spans="1:15" x14ac:dyDescent="0.2">
      <c r="A42" s="77">
        <v>39904</v>
      </c>
      <c r="B42" s="83">
        <v>18304870</v>
      </c>
      <c r="C42" s="83">
        <v>5070795.6617999999</v>
      </c>
      <c r="D42" s="89">
        <f t="shared" si="2"/>
        <v>258.87</v>
      </c>
      <c r="E42" s="89">
        <f t="shared" si="2"/>
        <v>1.67</v>
      </c>
      <c r="F42" s="79">
        <v>30</v>
      </c>
      <c r="G42" s="80">
        <v>1</v>
      </c>
      <c r="H42" s="87">
        <v>137.31453031028698</v>
      </c>
      <c r="I42" s="80">
        <v>40</v>
      </c>
      <c r="J42" s="81">
        <f t="shared" si="4"/>
        <v>13801.917895205619</v>
      </c>
      <c r="K42" s="88">
        <v>320</v>
      </c>
      <c r="L42" s="78">
        <f>'CDM Activity'!C60</f>
        <v>177834.40614804637</v>
      </c>
      <c r="M42" s="80">
        <f t="shared" si="0"/>
        <v>18740197.355944812</v>
      </c>
      <c r="N42" s="115"/>
      <c r="O42"/>
    </row>
    <row r="43" spans="1:15" x14ac:dyDescent="0.2">
      <c r="A43" s="77">
        <v>39934</v>
      </c>
      <c r="B43" s="83">
        <v>17564207.692307696</v>
      </c>
      <c r="C43" s="83">
        <v>4234884.3057999993</v>
      </c>
      <c r="D43" s="89">
        <f t="shared" si="2"/>
        <v>92.039999999999992</v>
      </c>
      <c r="E43" s="89">
        <f t="shared" si="2"/>
        <v>37.67</v>
      </c>
      <c r="F43" s="79">
        <v>31</v>
      </c>
      <c r="G43" s="80">
        <v>1</v>
      </c>
      <c r="H43" s="87">
        <v>136.94287528034204</v>
      </c>
      <c r="I43" s="80">
        <v>41</v>
      </c>
      <c r="J43" s="81">
        <f t="shared" si="4"/>
        <v>13812.458947602805</v>
      </c>
      <c r="K43" s="88">
        <v>320</v>
      </c>
      <c r="L43" s="78">
        <f>'CDM Activity'!C61</f>
        <v>189949.9257940558</v>
      </c>
      <c r="M43" s="80">
        <f t="shared" si="0"/>
        <v>19160792.070672102</v>
      </c>
      <c r="N43" s="115"/>
      <c r="O43"/>
    </row>
    <row r="44" spans="1:15" x14ac:dyDescent="0.2">
      <c r="A44" s="77">
        <v>39965</v>
      </c>
      <c r="B44" s="83">
        <v>20151815.384615388</v>
      </c>
      <c r="C44" s="83">
        <v>3882033.5824000002</v>
      </c>
      <c r="D44" s="89">
        <f t="shared" si="2"/>
        <v>11.260000000000002</v>
      </c>
      <c r="E44" s="89">
        <f t="shared" si="2"/>
        <v>104.91000000000001</v>
      </c>
      <c r="F44" s="79">
        <v>30</v>
      </c>
      <c r="G44" s="80">
        <v>0</v>
      </c>
      <c r="H44" s="87">
        <v>136.57222617060793</v>
      </c>
      <c r="I44" s="80">
        <v>42</v>
      </c>
      <c r="J44" s="85">
        <f>'Rate Class Customer Model'!I7</f>
        <v>13823</v>
      </c>
      <c r="K44" s="88">
        <v>352</v>
      </c>
      <c r="L44" s="78">
        <f>'CDM Activity'!C62</f>
        <v>202065.44544006523</v>
      </c>
      <c r="M44" s="80">
        <f t="shared" si="0"/>
        <v>21470131.583173133</v>
      </c>
      <c r="N44" s="115"/>
      <c r="O44"/>
    </row>
    <row r="45" spans="1:15" x14ac:dyDescent="0.2">
      <c r="A45" s="77">
        <v>39995</v>
      </c>
      <c r="B45" s="83">
        <v>21718676.923076924</v>
      </c>
      <c r="C45" s="83">
        <v>4380699.4228999997</v>
      </c>
      <c r="D45" s="89">
        <f t="shared" si="2"/>
        <v>0.93</v>
      </c>
      <c r="E45" s="89">
        <f t="shared" si="2"/>
        <v>168.14</v>
      </c>
      <c r="F45" s="79">
        <v>31</v>
      </c>
      <c r="G45" s="80">
        <v>0</v>
      </c>
      <c r="H45" s="87">
        <v>136.20258025846454</v>
      </c>
      <c r="I45" s="80">
        <v>43</v>
      </c>
      <c r="J45" s="81">
        <f t="shared" ref="J45:J55" si="5">($J$56-$J$44)/12+J44</f>
        <v>13836.125</v>
      </c>
      <c r="K45" s="88">
        <v>352</v>
      </c>
      <c r="L45" s="78">
        <f>'CDM Activity'!C63</f>
        <v>214180.96508607466</v>
      </c>
      <c r="M45" s="80">
        <f t="shared" si="0"/>
        <v>25155190.656870283</v>
      </c>
      <c r="N45" s="115"/>
      <c r="O45"/>
    </row>
    <row r="46" spans="1:15" x14ac:dyDescent="0.2">
      <c r="A46" s="77">
        <v>40026</v>
      </c>
      <c r="B46" s="83">
        <v>24301261.53846154</v>
      </c>
      <c r="C46" s="83">
        <v>3780901.4922000002</v>
      </c>
      <c r="D46" s="89">
        <f t="shared" si="2"/>
        <v>2.57</v>
      </c>
      <c r="E46" s="89">
        <f t="shared" si="2"/>
        <v>138.56</v>
      </c>
      <c r="F46" s="79">
        <v>31</v>
      </c>
      <c r="G46" s="80">
        <v>0</v>
      </c>
      <c r="H46" s="87">
        <v>135.83393482866074</v>
      </c>
      <c r="I46" s="80">
        <v>44</v>
      </c>
      <c r="J46" s="81">
        <f t="shared" si="5"/>
        <v>13849.25</v>
      </c>
      <c r="K46" s="88">
        <v>320</v>
      </c>
      <c r="L46" s="78">
        <f>'CDM Activity'!C64</f>
        <v>226296.48473208409</v>
      </c>
      <c r="M46" s="80">
        <f t="shared" si="0"/>
        <v>23490058.240673713</v>
      </c>
      <c r="N46" s="115"/>
      <c r="O46"/>
    </row>
    <row r="47" spans="1:15" x14ac:dyDescent="0.2">
      <c r="A47" s="77">
        <v>40057</v>
      </c>
      <c r="B47" s="83">
        <v>19833253.846153848</v>
      </c>
      <c r="C47" s="83">
        <v>5253467.5819999995</v>
      </c>
      <c r="D47" s="89">
        <f t="shared" si="2"/>
        <v>41.35</v>
      </c>
      <c r="E47" s="89">
        <f t="shared" si="2"/>
        <v>52.5</v>
      </c>
      <c r="F47" s="79">
        <v>30</v>
      </c>
      <c r="G47" s="80">
        <v>1</v>
      </c>
      <c r="H47" s="87">
        <v>135.46628717329455</v>
      </c>
      <c r="I47" s="80">
        <v>45</v>
      </c>
      <c r="J47" s="81">
        <f t="shared" si="5"/>
        <v>13862.375</v>
      </c>
      <c r="K47" s="88">
        <v>336</v>
      </c>
      <c r="L47" s="78">
        <f>'CDM Activity'!C65</f>
        <v>238412.00437809352</v>
      </c>
      <c r="M47" s="80">
        <f t="shared" si="0"/>
        <v>19379055.333928913</v>
      </c>
      <c r="N47" s="115"/>
      <c r="O47"/>
    </row>
    <row r="48" spans="1:15" x14ac:dyDescent="0.2">
      <c r="A48" s="77">
        <v>40087</v>
      </c>
      <c r="B48" s="83">
        <v>19025038.46153846</v>
      </c>
      <c r="C48" s="83">
        <v>3762845.0086999997</v>
      </c>
      <c r="D48" s="89">
        <f t="shared" si="2"/>
        <v>195.32</v>
      </c>
      <c r="E48" s="89">
        <f t="shared" si="2"/>
        <v>7.5399999999999991</v>
      </c>
      <c r="F48" s="79">
        <v>31</v>
      </c>
      <c r="G48" s="80">
        <v>1</v>
      </c>
      <c r="H48" s="87">
        <v>135.09963459179312</v>
      </c>
      <c r="I48" s="80">
        <v>46</v>
      </c>
      <c r="J48" s="81">
        <f t="shared" si="5"/>
        <v>13875.5</v>
      </c>
      <c r="K48" s="88">
        <v>336</v>
      </c>
      <c r="L48" s="78">
        <f>'CDM Activity'!C66</f>
        <v>250527.52402410295</v>
      </c>
      <c r="M48" s="80">
        <f t="shared" si="0"/>
        <v>18357438.408229198</v>
      </c>
      <c r="N48" s="115"/>
      <c r="O48"/>
    </row>
    <row r="49" spans="1:15" x14ac:dyDescent="0.2">
      <c r="A49" s="77">
        <v>40118</v>
      </c>
      <c r="B49" s="83">
        <v>19026900</v>
      </c>
      <c r="C49" s="83">
        <v>3776087.9072999996</v>
      </c>
      <c r="D49" s="89">
        <f t="shared" si="2"/>
        <v>380.09</v>
      </c>
      <c r="E49" s="89">
        <f t="shared" si="2"/>
        <v>0</v>
      </c>
      <c r="F49" s="79">
        <v>30</v>
      </c>
      <c r="G49" s="80">
        <v>1</v>
      </c>
      <c r="H49" s="87">
        <v>134.733974390893</v>
      </c>
      <c r="I49" s="80">
        <v>47</v>
      </c>
      <c r="J49" s="81">
        <f t="shared" si="5"/>
        <v>13888.625</v>
      </c>
      <c r="K49" s="88">
        <v>320</v>
      </c>
      <c r="L49" s="78">
        <f>'CDM Activity'!C67</f>
        <v>262643.04367011238</v>
      </c>
      <c r="M49" s="80">
        <f t="shared" si="0"/>
        <v>18845735.509583812</v>
      </c>
      <c r="N49" s="115"/>
      <c r="O49"/>
    </row>
    <row r="50" spans="1:15" x14ac:dyDescent="0.2">
      <c r="A50" s="77">
        <v>40148</v>
      </c>
      <c r="B50" s="83">
        <v>22891584.615384616</v>
      </c>
      <c r="C50" s="83">
        <v>3766879.0844999999</v>
      </c>
      <c r="D50" s="89">
        <f t="shared" si="2"/>
        <v>546.31999999999994</v>
      </c>
      <c r="E50" s="89">
        <f t="shared" si="2"/>
        <v>0</v>
      </c>
      <c r="F50" s="79">
        <v>31</v>
      </c>
      <c r="G50" s="80">
        <v>0</v>
      </c>
      <c r="H50" s="87">
        <v>134.36930388462019</v>
      </c>
      <c r="I50" s="80">
        <v>48</v>
      </c>
      <c r="J50" s="81">
        <f t="shared" si="5"/>
        <v>13901.75</v>
      </c>
      <c r="K50" s="88">
        <v>352</v>
      </c>
      <c r="L50" s="78">
        <f>'CDM Activity'!C68</f>
        <v>274758.56331612181</v>
      </c>
      <c r="M50" s="80">
        <f t="shared" si="0"/>
        <v>21650427.299743924</v>
      </c>
      <c r="N50" s="37"/>
      <c r="O50"/>
    </row>
    <row r="51" spans="1:15" x14ac:dyDescent="0.2">
      <c r="A51" s="77">
        <v>40179</v>
      </c>
      <c r="B51" s="83">
        <v>23520946.153846156</v>
      </c>
      <c r="C51" s="83">
        <v>4803309.3464000002</v>
      </c>
      <c r="D51" s="89">
        <f t="shared" si="2"/>
        <v>665.55</v>
      </c>
      <c r="E51" s="89">
        <f t="shared" si="2"/>
        <v>0</v>
      </c>
      <c r="F51" s="79">
        <v>31</v>
      </c>
      <c r="G51" s="80">
        <v>0</v>
      </c>
      <c r="H51" s="87">
        <v>134.73334561620703</v>
      </c>
      <c r="I51" s="80">
        <v>49</v>
      </c>
      <c r="J51" s="81">
        <f t="shared" si="5"/>
        <v>13914.875</v>
      </c>
      <c r="K51" s="88">
        <v>320</v>
      </c>
      <c r="L51" s="78">
        <f>'CDM Activity'!C69</f>
        <v>268563.05416063953</v>
      </c>
      <c r="M51" s="80">
        <f t="shared" si="0"/>
        <v>23227435.078550354</v>
      </c>
      <c r="N51" s="35"/>
      <c r="O51"/>
    </row>
    <row r="52" spans="1:15" x14ac:dyDescent="0.2">
      <c r="A52" s="77">
        <v>40210</v>
      </c>
      <c r="B52" s="83">
        <v>20573876.923076924</v>
      </c>
      <c r="C52" s="83">
        <v>5113487.8109999998</v>
      </c>
      <c r="D52" s="89">
        <f t="shared" si="2"/>
        <v>619.5</v>
      </c>
      <c r="E52" s="89">
        <f t="shared" si="2"/>
        <v>0</v>
      </c>
      <c r="F52" s="79">
        <v>28</v>
      </c>
      <c r="G52" s="80">
        <v>0</v>
      </c>
      <c r="H52" s="87">
        <v>135.09837363244745</v>
      </c>
      <c r="I52" s="80">
        <v>50</v>
      </c>
      <c r="J52" s="81">
        <f t="shared" si="5"/>
        <v>13928</v>
      </c>
      <c r="K52" s="88">
        <v>304</v>
      </c>
      <c r="L52" s="78">
        <f>'CDM Activity'!C70</f>
        <v>262367.54500515724</v>
      </c>
      <c r="M52" s="80">
        <f t="shared" si="0"/>
        <v>21084318.667965218</v>
      </c>
      <c r="N52" s="35"/>
      <c r="O52"/>
    </row>
    <row r="53" spans="1:15" x14ac:dyDescent="0.2">
      <c r="A53" s="77">
        <v>40238</v>
      </c>
      <c r="B53" s="83">
        <v>20520861.53846154</v>
      </c>
      <c r="C53" s="83">
        <v>4395653.0039999997</v>
      </c>
      <c r="D53" s="89">
        <f t="shared" si="2"/>
        <v>476.25000000000011</v>
      </c>
      <c r="E53" s="89">
        <f t="shared" si="2"/>
        <v>0.6100000000000001</v>
      </c>
      <c r="F53" s="79">
        <v>31</v>
      </c>
      <c r="G53" s="80">
        <v>1</v>
      </c>
      <c r="H53" s="87">
        <v>135.46439060544563</v>
      </c>
      <c r="I53" s="80">
        <v>51</v>
      </c>
      <c r="J53" s="81">
        <f t="shared" si="5"/>
        <v>13941.125</v>
      </c>
      <c r="K53" s="88">
        <v>368</v>
      </c>
      <c r="L53" s="78">
        <f>'CDM Activity'!C71</f>
        <v>256172.03584967495</v>
      </c>
      <c r="M53" s="80">
        <f t="shared" si="0"/>
        <v>20668486.371345807</v>
      </c>
      <c r="N53" s="35"/>
      <c r="O53"/>
    </row>
    <row r="54" spans="1:15" x14ac:dyDescent="0.2">
      <c r="A54" s="77">
        <v>40269</v>
      </c>
      <c r="B54" s="83">
        <v>17431446.153846156</v>
      </c>
      <c r="C54" s="83">
        <v>3594249.8704999997</v>
      </c>
      <c r="D54" s="89">
        <f t="shared" si="2"/>
        <v>258.87</v>
      </c>
      <c r="E54" s="89">
        <f t="shared" si="2"/>
        <v>1.67</v>
      </c>
      <c r="F54" s="79">
        <v>30</v>
      </c>
      <c r="G54" s="80">
        <v>1</v>
      </c>
      <c r="H54" s="87">
        <v>135.83139921454512</v>
      </c>
      <c r="I54" s="80">
        <v>52</v>
      </c>
      <c r="J54" s="81">
        <f t="shared" si="5"/>
        <v>13954.25</v>
      </c>
      <c r="K54" s="88">
        <v>320</v>
      </c>
      <c r="L54" s="78">
        <f>'CDM Activity'!C72</f>
        <v>249976.52669419267</v>
      </c>
      <c r="M54" s="80">
        <f t="shared" si="0"/>
        <v>17845146.706119869</v>
      </c>
      <c r="N54" s="35"/>
      <c r="O54"/>
    </row>
    <row r="55" spans="1:15" x14ac:dyDescent="0.2">
      <c r="A55" s="77">
        <v>40299</v>
      </c>
      <c r="B55" s="83">
        <v>19189807.692307692</v>
      </c>
      <c r="C55" s="83">
        <v>3357369.0432999996</v>
      </c>
      <c r="D55" s="89">
        <f t="shared" si="2"/>
        <v>92.039999999999992</v>
      </c>
      <c r="E55" s="89">
        <f t="shared" si="2"/>
        <v>37.67</v>
      </c>
      <c r="F55" s="79">
        <v>31</v>
      </c>
      <c r="G55" s="80">
        <v>1</v>
      </c>
      <c r="H55" s="87">
        <v>136.19940214634852</v>
      </c>
      <c r="I55" s="80">
        <v>53</v>
      </c>
      <c r="J55" s="81">
        <f t="shared" si="5"/>
        <v>13967.375</v>
      </c>
      <c r="K55" s="88">
        <v>320</v>
      </c>
      <c r="L55" s="78">
        <f>'CDM Activity'!C73</f>
        <v>243781.01753871038</v>
      </c>
      <c r="M55" s="80">
        <f t="shared" si="0"/>
        <v>18628860.98491795</v>
      </c>
      <c r="N55" s="35"/>
      <c r="O55"/>
    </row>
    <row r="56" spans="1:15" x14ac:dyDescent="0.2">
      <c r="A56" s="77">
        <v>40330</v>
      </c>
      <c r="B56" s="83">
        <v>23092030.769230768</v>
      </c>
      <c r="C56" s="83">
        <v>3596503.5392999998</v>
      </c>
      <c r="D56" s="89">
        <f t="shared" si="2"/>
        <v>11.260000000000002</v>
      </c>
      <c r="E56" s="89">
        <f t="shared" si="2"/>
        <v>104.91000000000001</v>
      </c>
      <c r="F56" s="79">
        <v>30</v>
      </c>
      <c r="G56" s="80">
        <v>0</v>
      </c>
      <c r="H56" s="87">
        <v>136.56840209473719</v>
      </c>
      <c r="I56" s="80">
        <v>54</v>
      </c>
      <c r="J56" s="85">
        <f>'Rate Class Customer Model'!I8</f>
        <v>13980.5</v>
      </c>
      <c r="K56" s="88">
        <v>352</v>
      </c>
      <c r="L56" s="78">
        <f>'CDM Activity'!C74</f>
        <v>237585.50838322809</v>
      </c>
      <c r="M56" s="80">
        <f t="shared" si="0"/>
        <v>21297049.344798263</v>
      </c>
      <c r="N56" s="35"/>
      <c r="O56"/>
    </row>
    <row r="57" spans="1:15" x14ac:dyDescent="0.2">
      <c r="A57" s="77">
        <v>40360</v>
      </c>
      <c r="B57" s="83">
        <v>28187746.153846156</v>
      </c>
      <c r="C57" s="83">
        <v>4308053.8447000002</v>
      </c>
      <c r="D57" s="89">
        <f t="shared" si="2"/>
        <v>0.93</v>
      </c>
      <c r="E57" s="89">
        <f t="shared" si="2"/>
        <v>168.14</v>
      </c>
      <c r="F57" s="79">
        <v>31</v>
      </c>
      <c r="G57" s="80">
        <v>0</v>
      </c>
      <c r="H57" s="87">
        <v>136.93840176089088</v>
      </c>
      <c r="I57" s="80">
        <v>55</v>
      </c>
      <c r="J57" s="81">
        <f t="shared" ref="J57:J67" si="6">($J$68-$J$56)/12+J56</f>
        <v>13986.583333333334</v>
      </c>
      <c r="K57" s="88">
        <v>336</v>
      </c>
      <c r="L57" s="78">
        <f>'CDM Activity'!C75</f>
        <v>231389.99922774581</v>
      </c>
      <c r="M57" s="80">
        <f t="shared" si="0"/>
        <v>25111154.452671312</v>
      </c>
      <c r="N57" s="35"/>
      <c r="O57"/>
    </row>
    <row r="58" spans="1:15" x14ac:dyDescent="0.2">
      <c r="A58" s="77">
        <v>40391</v>
      </c>
      <c r="B58" s="83">
        <v>26984638.46153846</v>
      </c>
      <c r="C58" s="83">
        <v>5600560.3589000003</v>
      </c>
      <c r="D58" s="89">
        <f t="shared" si="2"/>
        <v>2.57</v>
      </c>
      <c r="E58" s="89">
        <f t="shared" si="2"/>
        <v>138.56</v>
      </c>
      <c r="F58" s="79">
        <v>31</v>
      </c>
      <c r="G58" s="80">
        <v>0</v>
      </c>
      <c r="H58" s="87">
        <v>137.30940385330757</v>
      </c>
      <c r="I58" s="80">
        <v>56</v>
      </c>
      <c r="J58" s="81">
        <f t="shared" si="6"/>
        <v>13992.666666666668</v>
      </c>
      <c r="K58" s="88">
        <v>336</v>
      </c>
      <c r="L58" s="78">
        <f>'CDM Activity'!C76</f>
        <v>225194.49007226352</v>
      </c>
      <c r="M58" s="80">
        <f t="shared" si="0"/>
        <v>24593096.738156144</v>
      </c>
      <c r="N58" s="35"/>
      <c r="O58"/>
    </row>
    <row r="59" spans="1:15" x14ac:dyDescent="0.2">
      <c r="A59" s="77">
        <v>40422</v>
      </c>
      <c r="B59" s="83">
        <v>19634115.384615384</v>
      </c>
      <c r="C59" s="83">
        <v>5345059.1985999998</v>
      </c>
      <c r="D59" s="89">
        <f t="shared" si="2"/>
        <v>41.35</v>
      </c>
      <c r="E59" s="89">
        <f t="shared" si="2"/>
        <v>52.5</v>
      </c>
      <c r="F59" s="79">
        <v>30</v>
      </c>
      <c r="G59" s="80">
        <v>1</v>
      </c>
      <c r="H59" s="87">
        <v>137.68141108782325</v>
      </c>
      <c r="I59" s="80">
        <v>57</v>
      </c>
      <c r="J59" s="81">
        <f t="shared" si="6"/>
        <v>13998.750000000002</v>
      </c>
      <c r="K59" s="88">
        <v>336</v>
      </c>
      <c r="L59" s="78">
        <f>'CDM Activity'!C77</f>
        <v>218998.98091678123</v>
      </c>
      <c r="M59" s="80">
        <f t="shared" si="0"/>
        <v>19434576.223588672</v>
      </c>
      <c r="N59" s="35"/>
      <c r="O59"/>
    </row>
    <row r="60" spans="1:15" x14ac:dyDescent="0.2">
      <c r="A60" s="77">
        <v>40452</v>
      </c>
      <c r="B60" s="83">
        <v>18062553.846153848</v>
      </c>
      <c r="C60" s="83">
        <v>4097940.9556999994</v>
      </c>
      <c r="D60" s="89">
        <f t="shared" si="2"/>
        <v>195.32</v>
      </c>
      <c r="E60" s="89">
        <f t="shared" si="2"/>
        <v>7.5399999999999991</v>
      </c>
      <c r="F60" s="79">
        <v>31</v>
      </c>
      <c r="G60" s="80">
        <v>1</v>
      </c>
      <c r="H60" s="87">
        <v>138.0544261876318</v>
      </c>
      <c r="I60" s="80">
        <v>58</v>
      </c>
      <c r="J60" s="81">
        <f t="shared" si="6"/>
        <v>14004.833333333336</v>
      </c>
      <c r="K60" s="88">
        <v>320</v>
      </c>
      <c r="L60" s="78">
        <f>'CDM Activity'!C78</f>
        <v>212803.47176129895</v>
      </c>
      <c r="M60" s="80">
        <f t="shared" si="0"/>
        <v>18560566.443189759</v>
      </c>
      <c r="N60" s="35"/>
      <c r="O60"/>
    </row>
    <row r="61" spans="1:15" x14ac:dyDescent="0.2">
      <c r="A61" s="77">
        <v>40483</v>
      </c>
      <c r="B61" s="83">
        <v>20064653.846153848</v>
      </c>
      <c r="C61" s="83">
        <v>3907777.7055000002</v>
      </c>
      <c r="D61" s="89">
        <f t="shared" si="2"/>
        <v>380.09</v>
      </c>
      <c r="E61" s="89">
        <f t="shared" si="2"/>
        <v>0</v>
      </c>
      <c r="F61" s="79">
        <v>30</v>
      </c>
      <c r="G61" s="80">
        <v>1</v>
      </c>
      <c r="H61" s="87">
        <v>138.42845188330503</v>
      </c>
      <c r="I61" s="80">
        <v>59</v>
      </c>
      <c r="J61" s="81">
        <f t="shared" si="6"/>
        <v>14010.91666666667</v>
      </c>
      <c r="K61" s="88">
        <v>336</v>
      </c>
      <c r="L61" s="78">
        <f>'CDM Activity'!C79</f>
        <v>206607.96260581666</v>
      </c>
      <c r="M61" s="80">
        <f t="shared" si="0"/>
        <v>18925563.063966971</v>
      </c>
      <c r="N61" s="35"/>
      <c r="O61"/>
    </row>
    <row r="62" spans="1:15" x14ac:dyDescent="0.2">
      <c r="A62" s="77">
        <v>40513</v>
      </c>
      <c r="B62" s="83">
        <v>24022230.769230772</v>
      </c>
      <c r="C62" s="83">
        <v>3870056.1023999997</v>
      </c>
      <c r="D62" s="89">
        <f t="shared" si="2"/>
        <v>546.31999999999994</v>
      </c>
      <c r="E62" s="89">
        <f t="shared" si="2"/>
        <v>0</v>
      </c>
      <c r="F62" s="79">
        <v>31</v>
      </c>
      <c r="G62" s="80">
        <v>0</v>
      </c>
      <c r="H62" s="87">
        <v>138.80349091281266</v>
      </c>
      <c r="I62" s="80">
        <v>60</v>
      </c>
      <c r="J62" s="81">
        <f t="shared" si="6"/>
        <v>14017.000000000004</v>
      </c>
      <c r="K62" s="88">
        <v>368</v>
      </c>
      <c r="L62" s="78">
        <f>'CDM Activity'!C80</f>
        <v>200412.45345033437</v>
      </c>
      <c r="M62" s="80">
        <f t="shared" si="0"/>
        <v>21712971.013228819</v>
      </c>
      <c r="N62" s="35"/>
      <c r="O62"/>
    </row>
    <row r="63" spans="1:15" x14ac:dyDescent="0.2">
      <c r="A63" s="77">
        <v>40544</v>
      </c>
      <c r="B63" s="71">
        <v>23397084.615384616</v>
      </c>
      <c r="C63" s="83">
        <v>5500808.8137999997</v>
      </c>
      <c r="D63" s="89">
        <f t="shared" si="2"/>
        <v>665.55</v>
      </c>
      <c r="E63" s="89">
        <f t="shared" si="2"/>
        <v>0</v>
      </c>
      <c r="F63" s="89">
        <v>31</v>
      </c>
      <c r="G63" s="80">
        <v>0</v>
      </c>
      <c r="H63" s="87">
        <v>139.10070640604135</v>
      </c>
      <c r="I63" s="80">
        <v>61</v>
      </c>
      <c r="J63" s="81">
        <f t="shared" si="6"/>
        <v>14023.083333333338</v>
      </c>
      <c r="K63" s="88">
        <v>336</v>
      </c>
      <c r="L63" s="78">
        <f>'CDM Activity'!C81</f>
        <v>210571.19426364722</v>
      </c>
      <c r="M63" s="80">
        <f t="shared" si="0"/>
        <v>23650244.418583941</v>
      </c>
      <c r="N63" s="35"/>
      <c r="O63"/>
    </row>
    <row r="64" spans="1:15" x14ac:dyDescent="0.2">
      <c r="A64" s="77">
        <v>40575</v>
      </c>
      <c r="B64" s="71">
        <v>20570361.53846154</v>
      </c>
      <c r="C64" s="83">
        <v>5684569.301</v>
      </c>
      <c r="D64" s="89">
        <f t="shared" si="2"/>
        <v>619.5</v>
      </c>
      <c r="E64" s="89">
        <f t="shared" si="2"/>
        <v>0</v>
      </c>
      <c r="F64" s="89">
        <v>28</v>
      </c>
      <c r="G64" s="80">
        <v>0</v>
      </c>
      <c r="H64" s="87">
        <v>139.39855831733732</v>
      </c>
      <c r="I64" s="80">
        <v>62</v>
      </c>
      <c r="J64" s="81">
        <f t="shared" si="6"/>
        <v>14029.166666666672</v>
      </c>
      <c r="K64" s="88">
        <v>304</v>
      </c>
      <c r="L64" s="78">
        <f>'CDM Activity'!C82</f>
        <v>220729.93507696007</v>
      </c>
      <c r="M64" s="80">
        <f t="shared" si="0"/>
        <v>21430496.119243219</v>
      </c>
      <c r="N64" s="35"/>
      <c r="O64"/>
    </row>
    <row r="65" spans="1:15" x14ac:dyDescent="0.2">
      <c r="A65" s="77">
        <v>40603</v>
      </c>
      <c r="B65" s="71">
        <v>21011815.384615388</v>
      </c>
      <c r="C65" s="83">
        <v>4907120.8032</v>
      </c>
      <c r="D65" s="89">
        <f t="shared" si="2"/>
        <v>476.25000000000011</v>
      </c>
      <c r="E65" s="89">
        <f t="shared" si="2"/>
        <v>0.6100000000000001</v>
      </c>
      <c r="F65" s="89">
        <v>31</v>
      </c>
      <c r="G65" s="80">
        <v>1</v>
      </c>
      <c r="H65" s="87">
        <v>139.69704800944226</v>
      </c>
      <c r="I65" s="80">
        <v>63</v>
      </c>
      <c r="J65" s="81">
        <f t="shared" si="6"/>
        <v>14035.250000000005</v>
      </c>
      <c r="K65" s="88">
        <v>368</v>
      </c>
      <c r="L65" s="78">
        <f>'CDM Activity'!C83</f>
        <v>230888.67589027292</v>
      </c>
      <c r="M65" s="80">
        <f t="shared" si="0"/>
        <v>20978527.271354362</v>
      </c>
      <c r="N65" s="35"/>
      <c r="O65"/>
    </row>
    <row r="66" spans="1:15" x14ac:dyDescent="0.2">
      <c r="A66" s="77">
        <v>40634</v>
      </c>
      <c r="B66" s="71">
        <v>18252353.846153848</v>
      </c>
      <c r="C66" s="83">
        <v>4732985.6480999999</v>
      </c>
      <c r="D66" s="89">
        <f t="shared" si="2"/>
        <v>258.87</v>
      </c>
      <c r="E66" s="89">
        <f t="shared" si="2"/>
        <v>1.67</v>
      </c>
      <c r="F66" s="89">
        <v>30</v>
      </c>
      <c r="G66" s="80">
        <v>1</v>
      </c>
      <c r="H66" s="87">
        <v>139.99617684801592</v>
      </c>
      <c r="I66" s="80">
        <v>64</v>
      </c>
      <c r="J66" s="81">
        <f t="shared" si="6"/>
        <v>14041.333333333339</v>
      </c>
      <c r="K66" s="88">
        <v>320</v>
      </c>
      <c r="L66" s="78">
        <f>'CDM Activity'!C84</f>
        <v>241047.41670358577</v>
      </c>
      <c r="M66" s="80">
        <f t="shared" si="0"/>
        <v>18535424.111483932</v>
      </c>
      <c r="N66" s="35"/>
      <c r="O66"/>
    </row>
    <row r="67" spans="1:15" x14ac:dyDescent="0.2">
      <c r="A67" s="77">
        <v>40664</v>
      </c>
      <c r="B67" s="71">
        <v>18454400</v>
      </c>
      <c r="C67" s="83">
        <v>4046248.0761999995</v>
      </c>
      <c r="D67" s="89">
        <f t="shared" si="2"/>
        <v>92.039999999999992</v>
      </c>
      <c r="E67" s="89">
        <f t="shared" si="2"/>
        <v>37.67</v>
      </c>
      <c r="F67" s="79">
        <v>31</v>
      </c>
      <c r="G67" s="80">
        <v>1</v>
      </c>
      <c r="H67" s="87">
        <v>140.29594620164227</v>
      </c>
      <c r="I67" s="80">
        <v>65</v>
      </c>
      <c r="J67" s="81">
        <f t="shared" si="6"/>
        <v>14047.416666666673</v>
      </c>
      <c r="K67" s="88">
        <v>336</v>
      </c>
      <c r="L67" s="78">
        <f>'CDM Activity'!C85</f>
        <v>251206.15751689862</v>
      </c>
      <c r="M67" s="80">
        <f t="shared" si="0"/>
        <v>19046444.800930228</v>
      </c>
      <c r="N67" s="35"/>
      <c r="O67"/>
    </row>
    <row r="68" spans="1:15" x14ac:dyDescent="0.2">
      <c r="A68" s="77">
        <v>40695</v>
      </c>
      <c r="B68" s="71">
        <v>21528092.307692308</v>
      </c>
      <c r="C68" s="83">
        <v>3885225.7753999992</v>
      </c>
      <c r="D68" s="89">
        <f t="shared" si="2"/>
        <v>11.260000000000002</v>
      </c>
      <c r="E68" s="89">
        <f t="shared" si="2"/>
        <v>104.91000000000001</v>
      </c>
      <c r="F68" s="79">
        <v>30</v>
      </c>
      <c r="G68" s="80">
        <v>0</v>
      </c>
      <c r="H68" s="87">
        <v>140.59635744183578</v>
      </c>
      <c r="I68" s="80">
        <v>66</v>
      </c>
      <c r="J68" s="82">
        <f>'Rate Class Customer Model'!I9</f>
        <v>14053.5</v>
      </c>
      <c r="K68" s="88">
        <v>352</v>
      </c>
      <c r="L68" s="78">
        <f>'CDM Activity'!C86</f>
        <v>261364.89833021146</v>
      </c>
      <c r="M68" s="80">
        <f t="shared" ref="M68:M131" si="7">$P$18+C68*$P$19+D68*$P$20+E68*$P$21+F68*$P$22+G68*$P$23</f>
        <v>21472066.622665882</v>
      </c>
      <c r="N68" s="35"/>
      <c r="O68"/>
    </row>
    <row r="69" spans="1:15" x14ac:dyDescent="0.2">
      <c r="A69" s="77">
        <v>40725</v>
      </c>
      <c r="B69" s="71">
        <v>28389523.076923076</v>
      </c>
      <c r="C69" s="83">
        <v>4417346.6200999999</v>
      </c>
      <c r="D69" s="89">
        <f t="shared" si="2"/>
        <v>0.93</v>
      </c>
      <c r="E69" s="89">
        <f t="shared" si="2"/>
        <v>168.14</v>
      </c>
      <c r="F69" s="79">
        <v>31</v>
      </c>
      <c r="G69" s="80">
        <v>0</v>
      </c>
      <c r="H69" s="87">
        <v>140.89741194304773</v>
      </c>
      <c r="I69" s="80">
        <v>67</v>
      </c>
      <c r="J69" s="81">
        <f t="shared" ref="J69:J79" si="8">($J$80-$J$68)/12+J68</f>
        <v>14060.916666666666</v>
      </c>
      <c r="K69" s="88">
        <v>320</v>
      </c>
      <c r="L69" s="78">
        <f>'CDM Activity'!C87</f>
        <v>271523.63914352434</v>
      </c>
      <c r="M69" s="80">
        <f t="shared" si="7"/>
        <v>25177405.408259228</v>
      </c>
      <c r="N69" s="35"/>
      <c r="O69"/>
    </row>
    <row r="70" spans="1:15" x14ac:dyDescent="0.2">
      <c r="A70" s="77">
        <v>40756</v>
      </c>
      <c r="B70" s="71">
        <v>24810530.769230768</v>
      </c>
      <c r="C70" s="83">
        <v>6295914.5817999998</v>
      </c>
      <c r="D70" s="89">
        <f t="shared" si="2"/>
        <v>2.57</v>
      </c>
      <c r="E70" s="89">
        <f t="shared" si="2"/>
        <v>138.56</v>
      </c>
      <c r="F70" s="79">
        <v>31</v>
      </c>
      <c r="G70" s="80">
        <v>0</v>
      </c>
      <c r="H70" s="87">
        <v>141.19911108267243</v>
      </c>
      <c r="I70" s="80">
        <v>68</v>
      </c>
      <c r="J70" s="81">
        <f t="shared" si="8"/>
        <v>14068.333333333332</v>
      </c>
      <c r="K70" s="88">
        <v>352</v>
      </c>
      <c r="L70" s="78">
        <f>'CDM Activity'!C88</f>
        <v>281682.37995683722</v>
      </c>
      <c r="M70" s="80">
        <f t="shared" si="7"/>
        <v>25014605.676607151</v>
      </c>
      <c r="N70" s="35"/>
      <c r="O70"/>
    </row>
    <row r="71" spans="1:15" x14ac:dyDescent="0.2">
      <c r="A71" s="77">
        <v>40787</v>
      </c>
      <c r="B71" s="71">
        <v>19628307.692307692</v>
      </c>
      <c r="C71" s="83">
        <v>5299992.0924000004</v>
      </c>
      <c r="D71" s="89">
        <f t="shared" si="2"/>
        <v>41.35</v>
      </c>
      <c r="E71" s="89">
        <f t="shared" si="2"/>
        <v>52.5</v>
      </c>
      <c r="F71" s="79">
        <v>30</v>
      </c>
      <c r="G71" s="80">
        <v>1</v>
      </c>
      <c r="H71" s="87">
        <v>141.50145624105357</v>
      </c>
      <c r="I71" s="80">
        <v>69</v>
      </c>
      <c r="J71" s="81">
        <f t="shared" si="8"/>
        <v>14075.749999999998</v>
      </c>
      <c r="K71" s="88">
        <v>336</v>
      </c>
      <c r="L71" s="78">
        <f>'CDM Activity'!C89</f>
        <v>291841.1207701501</v>
      </c>
      <c r="M71" s="80">
        <f t="shared" si="7"/>
        <v>19407257.50247097</v>
      </c>
      <c r="N71" s="35"/>
      <c r="O71"/>
    </row>
    <row r="72" spans="1:15" x14ac:dyDescent="0.2">
      <c r="A72" s="77">
        <v>40817</v>
      </c>
      <c r="B72" s="71">
        <v>18511823.076923076</v>
      </c>
      <c r="C72" s="83">
        <v>4140209.2447999995</v>
      </c>
      <c r="D72" s="89">
        <f t="shared" si="2"/>
        <v>195.32</v>
      </c>
      <c r="E72" s="89">
        <f t="shared" si="2"/>
        <v>7.5399999999999991</v>
      </c>
      <c r="F72" s="79">
        <v>31</v>
      </c>
      <c r="G72" s="80">
        <v>1</v>
      </c>
      <c r="H72" s="87">
        <v>141.80444880149057</v>
      </c>
      <c r="I72" s="80">
        <v>70</v>
      </c>
      <c r="J72" s="81">
        <f t="shared" si="8"/>
        <v>14083.166666666664</v>
      </c>
      <c r="K72" s="88">
        <v>320</v>
      </c>
      <c r="L72" s="78">
        <f>'CDM Activity'!C90</f>
        <v>301999.86158346297</v>
      </c>
      <c r="M72" s="80">
        <f t="shared" si="7"/>
        <v>18586188.580917455</v>
      </c>
      <c r="N72" s="35"/>
      <c r="O72"/>
    </row>
    <row r="73" spans="1:15" x14ac:dyDescent="0.2">
      <c r="A73" s="77">
        <v>40848</v>
      </c>
      <c r="B73" s="71">
        <v>18941946.153846152</v>
      </c>
      <c r="C73" s="83">
        <v>3941621.7615999999</v>
      </c>
      <c r="D73" s="89">
        <f t="shared" si="2"/>
        <v>380.09</v>
      </c>
      <c r="E73" s="89">
        <f t="shared" si="2"/>
        <v>0</v>
      </c>
      <c r="F73" s="79">
        <v>30</v>
      </c>
      <c r="G73" s="80">
        <v>1</v>
      </c>
      <c r="H73" s="87">
        <v>142.10809015024478</v>
      </c>
      <c r="I73" s="80">
        <v>71</v>
      </c>
      <c r="J73" s="81">
        <f t="shared" si="8"/>
        <v>14090.58333333333</v>
      </c>
      <c r="K73" s="88">
        <v>352</v>
      </c>
      <c r="L73" s="78">
        <f>'CDM Activity'!C91</f>
        <v>312158.60239677585</v>
      </c>
      <c r="M73" s="80">
        <f t="shared" si="7"/>
        <v>18946078.610849094</v>
      </c>
      <c r="N73" s="35"/>
      <c r="O73"/>
    </row>
    <row r="74" spans="1:15" x14ac:dyDescent="0.2">
      <c r="A74" s="77">
        <v>40878</v>
      </c>
      <c r="B74" s="71">
        <v>21539476.923076924</v>
      </c>
      <c r="C74" s="83">
        <v>4160346.3289999999</v>
      </c>
      <c r="D74" s="89">
        <f t="shared" si="2"/>
        <v>546.31999999999994</v>
      </c>
      <c r="E74" s="89">
        <f t="shared" si="2"/>
        <v>0</v>
      </c>
      <c r="F74" s="79">
        <v>31</v>
      </c>
      <c r="G74" s="80">
        <v>0</v>
      </c>
      <c r="H74" s="87">
        <v>142.41238167654581</v>
      </c>
      <c r="I74" s="80">
        <v>72</v>
      </c>
      <c r="J74" s="81">
        <f t="shared" si="8"/>
        <v>14097.999999999996</v>
      </c>
      <c r="K74" s="88">
        <v>336</v>
      </c>
      <c r="L74" s="78">
        <f>'CDM Activity'!C92</f>
        <v>322317.34321008873</v>
      </c>
      <c r="M74" s="80">
        <f t="shared" si="7"/>
        <v>21888938.773583479</v>
      </c>
      <c r="N74" s="35"/>
      <c r="O74"/>
    </row>
    <row r="75" spans="1:15" x14ac:dyDescent="0.2">
      <c r="A75" s="77">
        <v>40909</v>
      </c>
      <c r="B75" s="83">
        <v>22039669.230769232</v>
      </c>
      <c r="C75" s="83">
        <v>5033525.5924000004</v>
      </c>
      <c r="D75" s="89">
        <f t="shared" si="2"/>
        <v>665.55</v>
      </c>
      <c r="E75" s="89">
        <f t="shared" si="2"/>
        <v>0</v>
      </c>
      <c r="F75" s="79">
        <v>31</v>
      </c>
      <c r="G75" s="80">
        <v>0</v>
      </c>
      <c r="H75" s="87">
        <v>142.61257743956915</v>
      </c>
      <c r="I75" s="80">
        <v>73</v>
      </c>
      <c r="J75" s="81">
        <f t="shared" si="8"/>
        <v>14105.416666666662</v>
      </c>
      <c r="K75" s="88">
        <v>336</v>
      </c>
      <c r="L75" s="78">
        <f>'CDM Activity'!C93</f>
        <v>323926.13275312429</v>
      </c>
      <c r="M75" s="80">
        <f t="shared" si="7"/>
        <v>23366987.269750018</v>
      </c>
      <c r="N75" s="115"/>
      <c r="O75"/>
    </row>
    <row r="76" spans="1:15" x14ac:dyDescent="0.2">
      <c r="A76" s="77">
        <v>40940</v>
      </c>
      <c r="B76" s="83">
        <v>19611361.53846154</v>
      </c>
      <c r="C76" s="83">
        <v>5163650.5350000001</v>
      </c>
      <c r="D76" s="89">
        <f t="shared" si="2"/>
        <v>619.5</v>
      </c>
      <c r="E76" s="89">
        <f t="shared" si="2"/>
        <v>0</v>
      </c>
      <c r="F76" s="79">
        <v>29</v>
      </c>
      <c r="G76" s="80">
        <v>0</v>
      </c>
      <c r="H76" s="87">
        <v>142.81305462716429</v>
      </c>
      <c r="I76" s="80">
        <v>74</v>
      </c>
      <c r="J76" s="81">
        <f t="shared" si="8"/>
        <v>14112.833333333328</v>
      </c>
      <c r="K76" s="88">
        <v>320</v>
      </c>
      <c r="L76" s="78">
        <f>'CDM Activity'!C94</f>
        <v>325534.92229615984</v>
      </c>
      <c r="M76" s="80">
        <f t="shared" si="7"/>
        <v>21769628.751410499</v>
      </c>
      <c r="N76" s="115"/>
      <c r="O76"/>
    </row>
    <row r="77" spans="1:15" x14ac:dyDescent="0.2">
      <c r="A77" s="77">
        <v>40969</v>
      </c>
      <c r="B77" s="83">
        <v>18499069.230769232</v>
      </c>
      <c r="C77" s="83">
        <v>4524363.9985999996</v>
      </c>
      <c r="D77" s="89">
        <f t="shared" si="2"/>
        <v>476.25000000000011</v>
      </c>
      <c r="E77" s="89">
        <f t="shared" si="2"/>
        <v>0.6100000000000001</v>
      </c>
      <c r="F77" s="79">
        <v>31</v>
      </c>
      <c r="G77" s="80">
        <v>1</v>
      </c>
      <c r="H77" s="87">
        <v>143.01381363494295</v>
      </c>
      <c r="I77" s="80">
        <v>75</v>
      </c>
      <c r="J77" s="81">
        <f t="shared" si="8"/>
        <v>14120.249999999995</v>
      </c>
      <c r="K77" s="88">
        <v>352</v>
      </c>
      <c r="L77" s="78">
        <f>'CDM Activity'!C95</f>
        <v>327143.7118391954</v>
      </c>
      <c r="M77" s="80">
        <f t="shared" si="7"/>
        <v>20746508.238351312</v>
      </c>
      <c r="N77" s="115"/>
      <c r="O77"/>
    </row>
    <row r="78" spans="1:15" x14ac:dyDescent="0.2">
      <c r="A78" s="77">
        <v>41000</v>
      </c>
      <c r="B78" s="83">
        <v>19946663.636363637</v>
      </c>
      <c r="C78" s="83">
        <v>4020800.6875999994</v>
      </c>
      <c r="D78" s="89">
        <f t="shared" si="2"/>
        <v>258.87</v>
      </c>
      <c r="E78" s="89">
        <f t="shared" si="2"/>
        <v>1.67</v>
      </c>
      <c r="F78" s="79">
        <v>30</v>
      </c>
      <c r="G78" s="80">
        <v>1</v>
      </c>
      <c r="H78" s="87">
        <v>143.21485485907297</v>
      </c>
      <c r="I78" s="80">
        <v>76</v>
      </c>
      <c r="J78" s="81">
        <f t="shared" si="8"/>
        <v>14127.666666666661</v>
      </c>
      <c r="K78" s="88">
        <v>320</v>
      </c>
      <c r="L78" s="78">
        <f>'CDM Activity'!C96</f>
        <v>328752.50138223096</v>
      </c>
      <c r="M78" s="80">
        <f t="shared" si="7"/>
        <v>18103712.737920739</v>
      </c>
      <c r="N78" s="115"/>
      <c r="O78"/>
    </row>
    <row r="79" spans="1:15" x14ac:dyDescent="0.2">
      <c r="A79" s="77">
        <v>41030</v>
      </c>
      <c r="B79" s="83">
        <v>18352863.636363637</v>
      </c>
      <c r="C79" s="83">
        <v>3715365.5429000002</v>
      </c>
      <c r="D79" s="89">
        <f t="shared" si="2"/>
        <v>92.039999999999992</v>
      </c>
      <c r="E79" s="89">
        <f t="shared" si="2"/>
        <v>37.67</v>
      </c>
      <c r="F79" s="79">
        <v>31</v>
      </c>
      <c r="G79" s="80">
        <v>1</v>
      </c>
      <c r="H79" s="87">
        <v>143.41617869627913</v>
      </c>
      <c r="I79" s="80">
        <v>77</v>
      </c>
      <c r="J79" s="81">
        <f t="shared" si="8"/>
        <v>14135.083333333327</v>
      </c>
      <c r="K79" s="88">
        <v>352</v>
      </c>
      <c r="L79" s="78">
        <f>'CDM Activity'!C97</f>
        <v>330361.29092526651</v>
      </c>
      <c r="M79" s="80">
        <f t="shared" si="7"/>
        <v>18845870.847727504</v>
      </c>
      <c r="N79" s="115"/>
      <c r="O79"/>
    </row>
    <row r="80" spans="1:15" x14ac:dyDescent="0.2">
      <c r="A80" s="77">
        <v>41061</v>
      </c>
      <c r="B80" s="83">
        <v>22640936.36363636</v>
      </c>
      <c r="C80" s="83">
        <v>3836936.6406</v>
      </c>
      <c r="D80" s="89">
        <f t="shared" ref="D80:E122" si="9">D68</f>
        <v>11.260000000000002</v>
      </c>
      <c r="E80" s="89">
        <f t="shared" si="9"/>
        <v>104.91000000000001</v>
      </c>
      <c r="F80" s="79">
        <v>30</v>
      </c>
      <c r="G80" s="80">
        <v>0</v>
      </c>
      <c r="H80" s="87">
        <v>143.61778554384387</v>
      </c>
      <c r="I80" s="80">
        <v>78</v>
      </c>
      <c r="J80" s="82">
        <f>'Rate Class Customer Model'!I10</f>
        <v>14142.5</v>
      </c>
      <c r="K80" s="88">
        <v>336</v>
      </c>
      <c r="L80" s="78">
        <f>'CDM Activity'!C98</f>
        <v>331970.08046830207</v>
      </c>
      <c r="M80" s="80">
        <f t="shared" si="7"/>
        <v>21442794.776349369</v>
      </c>
      <c r="N80" s="115"/>
      <c r="O80"/>
    </row>
    <row r="81" spans="1:15" x14ac:dyDescent="0.2">
      <c r="A81" s="77">
        <v>41091</v>
      </c>
      <c r="B81" s="83">
        <v>27569299.999999996</v>
      </c>
      <c r="C81" s="83">
        <v>4801683.09</v>
      </c>
      <c r="D81" s="89">
        <f t="shared" si="9"/>
        <v>0.93</v>
      </c>
      <c r="E81" s="89">
        <f t="shared" si="9"/>
        <v>168.14</v>
      </c>
      <c r="F81" s="79">
        <v>31</v>
      </c>
      <c r="G81" s="80">
        <v>0</v>
      </c>
      <c r="H81" s="87">
        <v>143.81967579960809</v>
      </c>
      <c r="I81" s="80">
        <v>79</v>
      </c>
      <c r="J81" s="81">
        <f t="shared" ref="J81:J91" si="10">($J$92-$J$80)/12+J80</f>
        <v>14149.666666666666</v>
      </c>
      <c r="K81" s="88">
        <v>336</v>
      </c>
      <c r="L81" s="78">
        <f>'CDM Activity'!C99</f>
        <v>333578.87001133763</v>
      </c>
      <c r="M81" s="80">
        <f t="shared" si="7"/>
        <v>25410382.000764735</v>
      </c>
      <c r="N81" s="115"/>
      <c r="O81"/>
    </row>
    <row r="82" spans="1:15" x14ac:dyDescent="0.2">
      <c r="A82" s="77">
        <v>41122</v>
      </c>
      <c r="B82" s="83">
        <v>23505663.636363633</v>
      </c>
      <c r="C82" s="83">
        <v>6167729.818</v>
      </c>
      <c r="D82" s="89">
        <f t="shared" si="9"/>
        <v>2.57</v>
      </c>
      <c r="E82" s="89">
        <f t="shared" si="9"/>
        <v>138.56</v>
      </c>
      <c r="F82" s="79">
        <v>31</v>
      </c>
      <c r="G82" s="80">
        <v>0</v>
      </c>
      <c r="H82" s="87">
        <v>144.02184986197204</v>
      </c>
      <c r="I82" s="80">
        <v>80</v>
      </c>
      <c r="J82" s="81">
        <f t="shared" si="10"/>
        <v>14156.833333333332</v>
      </c>
      <c r="K82" s="88">
        <v>352</v>
      </c>
      <c r="L82" s="78">
        <f>'CDM Activity'!C100</f>
        <v>335187.65955437318</v>
      </c>
      <c r="M82" s="80">
        <f t="shared" si="7"/>
        <v>24936902.799518704</v>
      </c>
      <c r="N82" s="115"/>
      <c r="O82"/>
    </row>
    <row r="83" spans="1:15" x14ac:dyDescent="0.2">
      <c r="A83" s="77">
        <v>41153</v>
      </c>
      <c r="B83" s="83">
        <v>18912418.18181818</v>
      </c>
      <c r="C83" s="83">
        <v>5144563.318</v>
      </c>
      <c r="D83" s="89">
        <f t="shared" si="9"/>
        <v>41.35</v>
      </c>
      <c r="E83" s="89">
        <f t="shared" si="9"/>
        <v>52.5</v>
      </c>
      <c r="F83" s="79">
        <v>30</v>
      </c>
      <c r="G83" s="80">
        <v>1</v>
      </c>
      <c r="H83" s="87">
        <v>144.22430812989595</v>
      </c>
      <c r="I83" s="80">
        <v>81</v>
      </c>
      <c r="J83" s="81">
        <f t="shared" si="10"/>
        <v>14163.999999999998</v>
      </c>
      <c r="K83" s="88">
        <v>304</v>
      </c>
      <c r="L83" s="78">
        <f>'CDM Activity'!C101</f>
        <v>336796.44909740874</v>
      </c>
      <c r="M83" s="80">
        <f t="shared" si="7"/>
        <v>19313039.885687318</v>
      </c>
      <c r="N83" s="115"/>
      <c r="O83"/>
    </row>
    <row r="84" spans="1:15" x14ac:dyDescent="0.2">
      <c r="A84" s="77">
        <v>41183</v>
      </c>
      <c r="B84" s="83">
        <v>17381318.18181818</v>
      </c>
      <c r="C84" s="83">
        <v>4109515.5469999998</v>
      </c>
      <c r="D84" s="89">
        <f t="shared" si="9"/>
        <v>195.32</v>
      </c>
      <c r="E84" s="89">
        <f t="shared" si="9"/>
        <v>7.5399999999999991</v>
      </c>
      <c r="F84" s="79">
        <v>31</v>
      </c>
      <c r="G84" s="80">
        <v>1</v>
      </c>
      <c r="H84" s="87">
        <v>144.42705100290087</v>
      </c>
      <c r="I84" s="80">
        <v>82</v>
      </c>
      <c r="J84" s="81">
        <f t="shared" si="10"/>
        <v>14171.166666666664</v>
      </c>
      <c r="K84" s="88">
        <v>352</v>
      </c>
      <c r="L84" s="78">
        <f>'CDM Activity'!C102</f>
        <v>338405.2386404443</v>
      </c>
      <c r="M84" s="80">
        <f t="shared" si="7"/>
        <v>18567582.714222845</v>
      </c>
      <c r="N84" s="115"/>
      <c r="O84"/>
    </row>
    <row r="85" spans="1:15" x14ac:dyDescent="0.2">
      <c r="A85" s="77">
        <v>41214</v>
      </c>
      <c r="B85" s="83">
        <v>18308972.727272727</v>
      </c>
      <c r="C85" s="83">
        <v>3700252.9467000002</v>
      </c>
      <c r="D85" s="89">
        <f t="shared" si="9"/>
        <v>380.09</v>
      </c>
      <c r="E85" s="89">
        <f t="shared" si="9"/>
        <v>0</v>
      </c>
      <c r="F85" s="79">
        <v>30</v>
      </c>
      <c r="G85" s="80">
        <v>1</v>
      </c>
      <c r="H85" s="87">
        <v>144.63007888106955</v>
      </c>
      <c r="I85" s="80">
        <v>83</v>
      </c>
      <c r="J85" s="81">
        <f t="shared" si="10"/>
        <v>14178.33333333333</v>
      </c>
      <c r="K85" s="88">
        <v>352</v>
      </c>
      <c r="L85" s="78">
        <f>'CDM Activity'!C103</f>
        <v>340014.02818347985</v>
      </c>
      <c r="M85" s="80">
        <f t="shared" si="7"/>
        <v>18799765.969618026</v>
      </c>
      <c r="N85" s="115"/>
      <c r="O85"/>
    </row>
    <row r="86" spans="1:15" x14ac:dyDescent="0.2">
      <c r="A86" s="77">
        <v>41244</v>
      </c>
      <c r="B86" s="83">
        <v>20133590.90909091</v>
      </c>
      <c r="C86" s="83">
        <v>3952350.1461</v>
      </c>
      <c r="D86" s="89">
        <f t="shared" si="9"/>
        <v>546.31999999999994</v>
      </c>
      <c r="E86" s="89">
        <f t="shared" si="9"/>
        <v>0</v>
      </c>
      <c r="F86" s="79">
        <v>31</v>
      </c>
      <c r="G86" s="80">
        <v>0</v>
      </c>
      <c r="H86" s="87">
        <v>144.83339216504706</v>
      </c>
      <c r="I86" s="80">
        <v>84</v>
      </c>
      <c r="J86" s="81">
        <f t="shared" si="10"/>
        <v>14185.499999999996</v>
      </c>
      <c r="K86" s="88">
        <v>304</v>
      </c>
      <c r="L86" s="78">
        <f>'CDM Activity'!C104</f>
        <v>341622.81772651541</v>
      </c>
      <c r="M86" s="80">
        <f t="shared" si="7"/>
        <v>21762855.911973178</v>
      </c>
      <c r="N86" s="115"/>
      <c r="O86"/>
    </row>
    <row r="87" spans="1:15" x14ac:dyDescent="0.2">
      <c r="A87" s="77">
        <v>41275</v>
      </c>
      <c r="B87" s="83">
        <v>23386699.999999996</v>
      </c>
      <c r="C87" s="83">
        <v>4815275.5839999998</v>
      </c>
      <c r="D87" s="89">
        <f t="shared" si="9"/>
        <v>665.55</v>
      </c>
      <c r="E87" s="89">
        <f t="shared" si="9"/>
        <v>0</v>
      </c>
      <c r="F87" s="79">
        <v>31</v>
      </c>
      <c r="G87" s="80">
        <v>0</v>
      </c>
      <c r="H87" s="87">
        <v>144.98936781896037</v>
      </c>
      <c r="I87" s="80">
        <v>85</v>
      </c>
      <c r="J87" s="81">
        <f t="shared" si="10"/>
        <v>14192.666666666662</v>
      </c>
      <c r="K87" s="88">
        <v>352</v>
      </c>
      <c r="L87" s="78">
        <f>'CDM Activity'!C105</f>
        <v>351951.10870257241</v>
      </c>
      <c r="M87" s="80">
        <f t="shared" si="7"/>
        <v>23234688.757239457</v>
      </c>
      <c r="N87" s="115"/>
      <c r="O87"/>
    </row>
    <row r="88" spans="1:15" x14ac:dyDescent="0.2">
      <c r="A88" s="77">
        <v>41306</v>
      </c>
      <c r="B88" s="83">
        <v>21170572.727272727</v>
      </c>
      <c r="C88" s="83">
        <v>5121922.8539999994</v>
      </c>
      <c r="D88" s="89">
        <f t="shared" si="9"/>
        <v>619.5</v>
      </c>
      <c r="E88" s="89">
        <f t="shared" si="9"/>
        <v>0</v>
      </c>
      <c r="F88" s="79">
        <v>28</v>
      </c>
      <c r="G88" s="80">
        <v>0</v>
      </c>
      <c r="H88" s="87">
        <v>145.14551144798114</v>
      </c>
      <c r="I88" s="80">
        <v>86</v>
      </c>
      <c r="J88" s="81">
        <f t="shared" si="10"/>
        <v>14199.833333333328</v>
      </c>
      <c r="K88" s="88">
        <v>304</v>
      </c>
      <c r="L88" s="78">
        <f>'CDM Activity'!C106</f>
        <v>362279.39967862942</v>
      </c>
      <c r="M88" s="80">
        <f t="shared" si="7"/>
        <v>21089431.811602846</v>
      </c>
      <c r="N88" s="115"/>
      <c r="O88"/>
    </row>
    <row r="89" spans="1:15" x14ac:dyDescent="0.2">
      <c r="A89" s="77">
        <v>41334</v>
      </c>
      <c r="B89" s="83">
        <v>21583554.545454543</v>
      </c>
      <c r="C89" s="83">
        <v>4664194.591599999</v>
      </c>
      <c r="D89" s="89">
        <f t="shared" si="9"/>
        <v>476.25000000000011</v>
      </c>
      <c r="E89" s="89">
        <f t="shared" si="9"/>
        <v>0.6100000000000001</v>
      </c>
      <c r="F89" s="79">
        <v>31</v>
      </c>
      <c r="G89" s="80">
        <v>1</v>
      </c>
      <c r="H89" s="87">
        <v>145.30182323300707</v>
      </c>
      <c r="I89" s="80">
        <v>87</v>
      </c>
      <c r="J89" s="81">
        <f t="shared" si="10"/>
        <v>14206.999999999995</v>
      </c>
      <c r="K89" s="88">
        <v>320</v>
      </c>
      <c r="L89" s="78">
        <f>'CDM Activity'!C107</f>
        <v>372607.69065468642</v>
      </c>
      <c r="M89" s="80">
        <f t="shared" si="7"/>
        <v>20831270.56937246</v>
      </c>
      <c r="N89" s="115"/>
      <c r="O89"/>
    </row>
    <row r="90" spans="1:15" x14ac:dyDescent="0.2">
      <c r="A90" s="77">
        <v>41365</v>
      </c>
      <c r="B90" s="83">
        <v>19125345.454545453</v>
      </c>
      <c r="C90" s="83">
        <v>4705233.0269999998</v>
      </c>
      <c r="D90" s="89">
        <f t="shared" si="9"/>
        <v>258.87</v>
      </c>
      <c r="E90" s="89">
        <f t="shared" si="9"/>
        <v>1.67</v>
      </c>
      <c r="F90" s="79">
        <v>30</v>
      </c>
      <c r="G90" s="80">
        <v>1</v>
      </c>
      <c r="H90" s="87">
        <v>145.45830335513068</v>
      </c>
      <c r="I90" s="80">
        <v>88</v>
      </c>
      <c r="J90" s="81">
        <f t="shared" si="10"/>
        <v>14214.166666666661</v>
      </c>
      <c r="K90" s="88">
        <v>352</v>
      </c>
      <c r="L90" s="78">
        <f>'CDM Activity'!C108</f>
        <v>382935.98163074342</v>
      </c>
      <c r="M90" s="80">
        <f t="shared" si="7"/>
        <v>18518601.062922716</v>
      </c>
      <c r="N90" s="115"/>
      <c r="O90"/>
    </row>
    <row r="91" spans="1:15" x14ac:dyDescent="0.2">
      <c r="A91" s="77">
        <v>41395</v>
      </c>
      <c r="B91" s="83">
        <v>17617625.000000004</v>
      </c>
      <c r="C91" s="83">
        <v>3915508.8012999999</v>
      </c>
      <c r="D91" s="89">
        <f t="shared" si="9"/>
        <v>92.039999999999992</v>
      </c>
      <c r="E91" s="89">
        <f t="shared" si="9"/>
        <v>37.67</v>
      </c>
      <c r="F91" s="79">
        <v>31</v>
      </c>
      <c r="G91" s="80">
        <v>1</v>
      </c>
      <c r="H91" s="87">
        <v>145.6149519956395</v>
      </c>
      <c r="I91" s="80">
        <v>89</v>
      </c>
      <c r="J91" s="81">
        <f t="shared" si="10"/>
        <v>14221.333333333327</v>
      </c>
      <c r="K91" s="88">
        <v>352</v>
      </c>
      <c r="L91" s="78">
        <f>'CDM Activity'!C109</f>
        <v>393264.27260680043</v>
      </c>
      <c r="M91" s="80">
        <f t="shared" si="7"/>
        <v>18967193.433552142</v>
      </c>
      <c r="N91" s="115"/>
      <c r="O91"/>
    </row>
    <row r="92" spans="1:15" x14ac:dyDescent="0.2">
      <c r="A92" s="77">
        <v>41426</v>
      </c>
      <c r="B92" s="83">
        <v>19936866.666666668</v>
      </c>
      <c r="C92" s="83">
        <v>3645317.7157999999</v>
      </c>
      <c r="D92" s="89">
        <f t="shared" si="9"/>
        <v>11.260000000000002</v>
      </c>
      <c r="E92" s="89">
        <f t="shared" si="9"/>
        <v>104.91000000000001</v>
      </c>
      <c r="F92" s="79">
        <v>30</v>
      </c>
      <c r="G92" s="80">
        <v>0</v>
      </c>
      <c r="H92" s="87">
        <v>145.77176933601632</v>
      </c>
      <c r="I92" s="80">
        <v>90</v>
      </c>
      <c r="J92" s="82">
        <f>'Rate Class Customer Model'!I11</f>
        <v>14228.5</v>
      </c>
      <c r="K92" s="88">
        <v>320</v>
      </c>
      <c r="L92" s="78">
        <f>'CDM Activity'!C110</f>
        <v>403592.56358285743</v>
      </c>
      <c r="M92" s="80">
        <f t="shared" si="7"/>
        <v>21326639.460224703</v>
      </c>
      <c r="N92" s="115"/>
      <c r="O92"/>
    </row>
    <row r="93" spans="1:15" x14ac:dyDescent="0.2">
      <c r="A93" s="77">
        <v>41456</v>
      </c>
      <c r="B93" s="83">
        <v>23686275</v>
      </c>
      <c r="C93" s="83">
        <v>4244297.978099999</v>
      </c>
      <c r="D93" s="89">
        <f t="shared" si="9"/>
        <v>0.93</v>
      </c>
      <c r="E93" s="89">
        <f t="shared" si="9"/>
        <v>168.14</v>
      </c>
      <c r="F93" s="79">
        <v>31</v>
      </c>
      <c r="G93" s="80">
        <v>0</v>
      </c>
      <c r="H93" s="87">
        <v>145.92875555793933</v>
      </c>
      <c r="I93" s="80">
        <v>91</v>
      </c>
      <c r="J93" s="81">
        <f t="shared" ref="J93:J103" si="11">($J$104-$J$92)/12+J92</f>
        <v>14235.833333333334</v>
      </c>
      <c r="K93" s="88">
        <v>352</v>
      </c>
      <c r="L93" s="78">
        <f>'CDM Activity'!C111</f>
        <v>413920.85455891443</v>
      </c>
      <c r="M93" s="80">
        <f t="shared" si="7"/>
        <v>25072507.002543643</v>
      </c>
      <c r="N93" s="115"/>
      <c r="O93"/>
    </row>
    <row r="94" spans="1:15" x14ac:dyDescent="0.2">
      <c r="A94" s="77">
        <v>41487</v>
      </c>
      <c r="B94" s="83">
        <v>22403900.000000004</v>
      </c>
      <c r="C94" s="83">
        <v>5299604.6619999995</v>
      </c>
      <c r="D94" s="89">
        <f t="shared" si="9"/>
        <v>2.57</v>
      </c>
      <c r="E94" s="89">
        <f t="shared" si="9"/>
        <v>138.56</v>
      </c>
      <c r="F94" s="79">
        <v>31</v>
      </c>
      <c r="G94" s="80">
        <v>0</v>
      </c>
      <c r="H94" s="87">
        <v>146.08591084328242</v>
      </c>
      <c r="I94" s="80">
        <v>92</v>
      </c>
      <c r="J94" s="81">
        <f t="shared" si="11"/>
        <v>14243.166666666668</v>
      </c>
      <c r="K94" s="88">
        <v>336</v>
      </c>
      <c r="L94" s="78">
        <f>'CDM Activity'!C112</f>
        <v>424249.14553497144</v>
      </c>
      <c r="M94" s="80">
        <f t="shared" si="7"/>
        <v>24410663.796579912</v>
      </c>
      <c r="N94" s="115"/>
      <c r="O94"/>
    </row>
    <row r="95" spans="1:15" x14ac:dyDescent="0.2">
      <c r="A95" s="77">
        <v>41518</v>
      </c>
      <c r="B95" s="83">
        <v>18880325</v>
      </c>
      <c r="C95" s="83">
        <v>4825504.0060000001</v>
      </c>
      <c r="D95" s="89">
        <f t="shared" si="9"/>
        <v>41.35</v>
      </c>
      <c r="E95" s="89">
        <f t="shared" si="9"/>
        <v>52.5</v>
      </c>
      <c r="F95" s="79">
        <v>30</v>
      </c>
      <c r="G95" s="80">
        <v>1</v>
      </c>
      <c r="H95" s="87">
        <v>146.2432353741153</v>
      </c>
      <c r="I95" s="80">
        <v>93</v>
      </c>
      <c r="J95" s="81">
        <f t="shared" si="11"/>
        <v>14250.500000000002</v>
      </c>
      <c r="K95" s="88">
        <v>320</v>
      </c>
      <c r="L95" s="78">
        <f>'CDM Activity'!C113</f>
        <v>434577.43651102844</v>
      </c>
      <c r="M95" s="80">
        <f t="shared" si="7"/>
        <v>19119632.917734858</v>
      </c>
      <c r="N95" s="115"/>
      <c r="O95"/>
    </row>
    <row r="96" spans="1:15" x14ac:dyDescent="0.2">
      <c r="A96" s="77">
        <v>41548</v>
      </c>
      <c r="B96" s="83">
        <v>18114283.333333336</v>
      </c>
      <c r="C96" s="83">
        <v>3980625.1063999999</v>
      </c>
      <c r="D96" s="89">
        <f t="shared" si="9"/>
        <v>195.32</v>
      </c>
      <c r="E96" s="89">
        <f t="shared" si="9"/>
        <v>7.5399999999999991</v>
      </c>
      <c r="F96" s="79">
        <v>31</v>
      </c>
      <c r="G96" s="80">
        <v>1</v>
      </c>
      <c r="H96" s="87">
        <v>146.4007293327038</v>
      </c>
      <c r="I96" s="80">
        <v>94</v>
      </c>
      <c r="J96" s="81">
        <f t="shared" si="11"/>
        <v>14257.833333333336</v>
      </c>
      <c r="K96" s="88">
        <v>352</v>
      </c>
      <c r="L96" s="78">
        <f>'CDM Activity'!C114</f>
        <v>444905.72748708545</v>
      </c>
      <c r="M96" s="80">
        <f t="shared" si="7"/>
        <v>18489452.070869289</v>
      </c>
      <c r="N96" s="115"/>
      <c r="O96"/>
    </row>
    <row r="97" spans="1:15" x14ac:dyDescent="0.2">
      <c r="A97" s="77">
        <v>41579</v>
      </c>
      <c r="B97" s="83">
        <v>19414258.333333336</v>
      </c>
      <c r="C97" s="83">
        <v>3873271.5369000002</v>
      </c>
      <c r="D97" s="89">
        <f t="shared" si="9"/>
        <v>380.09</v>
      </c>
      <c r="E97" s="89">
        <f t="shared" si="9"/>
        <v>0</v>
      </c>
      <c r="F97" s="79">
        <v>30</v>
      </c>
      <c r="G97" s="80">
        <v>1</v>
      </c>
      <c r="H97" s="87">
        <v>146.55839290151005</v>
      </c>
      <c r="I97" s="80">
        <v>95</v>
      </c>
      <c r="J97" s="81">
        <f t="shared" si="11"/>
        <v>14265.16666666667</v>
      </c>
      <c r="K97" s="88">
        <v>336</v>
      </c>
      <c r="L97" s="78">
        <f>'CDM Activity'!C115</f>
        <v>455234.01846314245</v>
      </c>
      <c r="M97" s="80">
        <f t="shared" si="7"/>
        <v>18904646.158571705</v>
      </c>
      <c r="N97" s="115"/>
      <c r="O97"/>
    </row>
    <row r="98" spans="1:15" x14ac:dyDescent="0.2">
      <c r="A98" s="77">
        <v>41609</v>
      </c>
      <c r="B98" s="83">
        <v>22361725</v>
      </c>
      <c r="C98" s="83">
        <v>4755196.7389000002</v>
      </c>
      <c r="D98" s="89">
        <f t="shared" si="9"/>
        <v>546.31999999999994</v>
      </c>
      <c r="E98" s="89">
        <f t="shared" si="9"/>
        <v>0</v>
      </c>
      <c r="F98" s="79">
        <v>31</v>
      </c>
      <c r="G98" s="80">
        <v>0</v>
      </c>
      <c r="H98" s="87">
        <v>146.71622626319265</v>
      </c>
      <c r="I98" s="80">
        <v>96</v>
      </c>
      <c r="J98" s="81">
        <f t="shared" si="11"/>
        <v>14272.500000000004</v>
      </c>
      <c r="K98" s="88">
        <v>320</v>
      </c>
      <c r="L98" s="78">
        <f>'CDM Activity'!C116</f>
        <v>465562.30943919945</v>
      </c>
      <c r="M98" s="80">
        <f t="shared" si="7"/>
        <v>22249524.438495956</v>
      </c>
      <c r="N98" s="115"/>
      <c r="O98"/>
    </row>
    <row r="99" spans="1:15" x14ac:dyDescent="0.2">
      <c r="A99" s="77">
        <v>41640</v>
      </c>
      <c r="B99" s="83">
        <v>24264791.666666668</v>
      </c>
      <c r="C99" s="83">
        <v>5851666.1732000001</v>
      </c>
      <c r="D99" s="89">
        <f t="shared" si="9"/>
        <v>665.55</v>
      </c>
      <c r="E99" s="89">
        <f t="shared" si="9"/>
        <v>0</v>
      </c>
      <c r="F99" s="79">
        <v>31</v>
      </c>
      <c r="G99" s="80">
        <v>0</v>
      </c>
      <c r="H99" s="87">
        <v>147.04232175221028</v>
      </c>
      <c r="I99" s="80">
        <v>97</v>
      </c>
      <c r="J99" s="81">
        <f t="shared" si="11"/>
        <v>14279.833333333338</v>
      </c>
      <c r="K99" s="88">
        <v>352</v>
      </c>
      <c r="L99" s="78">
        <f>'CDM Activity'!C117</f>
        <v>461504.63502921211</v>
      </c>
      <c r="M99" s="80">
        <f t="shared" si="7"/>
        <v>23862926.686466973</v>
      </c>
      <c r="N99" s="115"/>
      <c r="O99"/>
    </row>
    <row r="100" spans="1:15" x14ac:dyDescent="0.2">
      <c r="A100" s="77">
        <v>41671</v>
      </c>
      <c r="B100" s="83">
        <v>20828400.000000004</v>
      </c>
      <c r="C100" s="83">
        <v>6455879.2321999995</v>
      </c>
      <c r="D100" s="89">
        <f t="shared" si="9"/>
        <v>619.5</v>
      </c>
      <c r="E100" s="89">
        <f t="shared" si="9"/>
        <v>0</v>
      </c>
      <c r="F100" s="79">
        <v>28</v>
      </c>
      <c r="G100" s="80">
        <v>0</v>
      </c>
      <c r="H100" s="87">
        <v>147.36914202996238</v>
      </c>
      <c r="I100" s="80">
        <v>98</v>
      </c>
      <c r="J100" s="81">
        <f t="shared" si="11"/>
        <v>14287.166666666672</v>
      </c>
      <c r="K100" s="88">
        <v>304</v>
      </c>
      <c r="L100" s="78">
        <f>'CDM Activity'!C118</f>
        <v>457446.96061922476</v>
      </c>
      <c r="M100" s="80">
        <f t="shared" si="7"/>
        <v>21898047.792347226</v>
      </c>
      <c r="N100" s="115"/>
      <c r="O100"/>
    </row>
    <row r="101" spans="1:15" x14ac:dyDescent="0.2">
      <c r="A101" s="77">
        <v>41699</v>
      </c>
      <c r="B101" s="83">
        <v>21052908.333333336</v>
      </c>
      <c r="C101" s="83">
        <v>5377054.6365999999</v>
      </c>
      <c r="D101" s="89">
        <f t="shared" si="9"/>
        <v>476.25000000000011</v>
      </c>
      <c r="E101" s="89">
        <f t="shared" si="9"/>
        <v>0.6100000000000001</v>
      </c>
      <c r="F101" s="79">
        <v>31</v>
      </c>
      <c r="G101" s="80">
        <v>1</v>
      </c>
      <c r="H101" s="87">
        <v>147.69668870738414</v>
      </c>
      <c r="I101" s="80">
        <v>99</v>
      </c>
      <c r="J101" s="81">
        <f t="shared" si="11"/>
        <v>14294.500000000005</v>
      </c>
      <c r="K101" s="88">
        <v>336</v>
      </c>
      <c r="L101" s="78">
        <f>'CDM Activity'!C119</f>
        <v>453389.28620923741</v>
      </c>
      <c r="M101" s="80">
        <f t="shared" si="7"/>
        <v>21263391.164799262</v>
      </c>
      <c r="N101" s="115"/>
      <c r="O101"/>
    </row>
    <row r="102" spans="1:15" x14ac:dyDescent="0.2">
      <c r="A102" s="77">
        <v>41730</v>
      </c>
      <c r="B102" s="83">
        <v>17638016.666666668</v>
      </c>
      <c r="C102" s="83">
        <v>5351869.0661999993</v>
      </c>
      <c r="D102" s="89">
        <f t="shared" si="9"/>
        <v>258.87</v>
      </c>
      <c r="E102" s="89">
        <f t="shared" si="9"/>
        <v>1.67</v>
      </c>
      <c r="F102" s="79">
        <v>30</v>
      </c>
      <c r="G102" s="80">
        <v>1</v>
      </c>
      <c r="H102" s="87">
        <v>148.02496339899133</v>
      </c>
      <c r="I102" s="80">
        <v>100</v>
      </c>
      <c r="J102" s="81">
        <f t="shared" si="11"/>
        <v>14301.833333333339</v>
      </c>
      <c r="K102" s="88">
        <v>320</v>
      </c>
      <c r="L102" s="78">
        <f>'CDM Activity'!C120</f>
        <v>449331.61179925007</v>
      </c>
      <c r="M102" s="80">
        <f t="shared" si="7"/>
        <v>18910578.074740697</v>
      </c>
      <c r="N102" s="115"/>
      <c r="O102"/>
    </row>
    <row r="103" spans="1:15" x14ac:dyDescent="0.2">
      <c r="A103" s="77">
        <v>41760</v>
      </c>
      <c r="B103" s="83">
        <v>18077492.307692308</v>
      </c>
      <c r="C103" s="83">
        <v>4037600.5085999994</v>
      </c>
      <c r="D103" s="89">
        <f t="shared" si="9"/>
        <v>92.039999999999992</v>
      </c>
      <c r="E103" s="89">
        <f t="shared" si="9"/>
        <v>37.67</v>
      </c>
      <c r="F103" s="79">
        <v>31</v>
      </c>
      <c r="G103" s="80">
        <v>1</v>
      </c>
      <c r="H103" s="87">
        <v>148.35396772288814</v>
      </c>
      <c r="I103" s="80">
        <v>101</v>
      </c>
      <c r="J103" s="81">
        <f t="shared" si="11"/>
        <v>14309.166666666673</v>
      </c>
      <c r="K103" s="88">
        <v>336</v>
      </c>
      <c r="L103" s="78">
        <f>'CDM Activity'!C121</f>
        <v>445273.93738926272</v>
      </c>
      <c r="M103" s="80">
        <f t="shared" si="7"/>
        <v>19041202.829400871</v>
      </c>
      <c r="N103" s="115"/>
      <c r="O103"/>
    </row>
    <row r="104" spans="1:15" x14ac:dyDescent="0.2">
      <c r="A104" s="77">
        <v>41791</v>
      </c>
      <c r="B104" s="83">
        <v>21714569.230769232</v>
      </c>
      <c r="C104" s="83">
        <v>3793711.3421999998</v>
      </c>
      <c r="D104" s="89">
        <f t="shared" si="9"/>
        <v>11.260000000000002</v>
      </c>
      <c r="E104" s="89">
        <f t="shared" si="9"/>
        <v>104.91000000000001</v>
      </c>
      <c r="F104" s="79">
        <v>30</v>
      </c>
      <c r="G104" s="80">
        <v>0</v>
      </c>
      <c r="H104" s="87">
        <v>148.68370330077519</v>
      </c>
      <c r="I104" s="80">
        <v>102</v>
      </c>
      <c r="J104" s="82">
        <f>'Rate Class Customer Model'!I12</f>
        <v>14316.5</v>
      </c>
      <c r="K104" s="88">
        <v>336</v>
      </c>
      <c r="L104" s="78">
        <f>'CDM Activity'!C122</f>
        <v>441216.26297927537</v>
      </c>
      <c r="M104" s="80">
        <f t="shared" si="7"/>
        <v>21416592.519941371</v>
      </c>
      <c r="N104" s="115"/>
      <c r="O104"/>
    </row>
    <row r="105" spans="1:15" x14ac:dyDescent="0.2">
      <c r="A105" s="77">
        <v>41821</v>
      </c>
      <c r="B105" s="83">
        <v>22619392.307692308</v>
      </c>
      <c r="C105" s="83">
        <v>4326643.2611999996</v>
      </c>
      <c r="D105" s="89">
        <f t="shared" si="9"/>
        <v>0.93</v>
      </c>
      <c r="E105" s="89">
        <f t="shared" si="9"/>
        <v>168.14</v>
      </c>
      <c r="F105" s="79">
        <v>31</v>
      </c>
      <c r="G105" s="80">
        <v>0</v>
      </c>
      <c r="H105" s="87">
        <v>149.0141717579576</v>
      </c>
      <c r="I105" s="80">
        <v>103</v>
      </c>
      <c r="J105" s="81">
        <f t="shared" ref="J105:J115" si="12">($J$116-$J$104)/12+J104</f>
        <v>14323.333333333334</v>
      </c>
      <c r="K105" s="88">
        <v>352</v>
      </c>
      <c r="L105" s="78">
        <f>'CDM Activity'!C123</f>
        <v>437158.58856928803</v>
      </c>
      <c r="M105" s="80">
        <f t="shared" si="7"/>
        <v>25122422.961522326</v>
      </c>
      <c r="N105" s="115"/>
      <c r="O105"/>
    </row>
    <row r="106" spans="1:15" x14ac:dyDescent="0.2">
      <c r="A106" s="77">
        <v>41852</v>
      </c>
      <c r="B106" s="83">
        <v>23222976.923076924</v>
      </c>
      <c r="C106" s="83">
        <v>4518340.0180000002</v>
      </c>
      <c r="D106" s="89">
        <f t="shared" si="9"/>
        <v>2.57</v>
      </c>
      <c r="E106" s="89">
        <f t="shared" si="9"/>
        <v>138.56</v>
      </c>
      <c r="F106" s="79">
        <v>31</v>
      </c>
      <c r="G106" s="80">
        <v>0</v>
      </c>
      <c r="H106" s="87">
        <v>149.34537472335285</v>
      </c>
      <c r="I106" s="80">
        <v>104</v>
      </c>
      <c r="J106" s="81">
        <f t="shared" si="12"/>
        <v>14330.166666666668</v>
      </c>
      <c r="K106" s="88">
        <v>320</v>
      </c>
      <c r="L106" s="78">
        <f>'CDM Activity'!C124</f>
        <v>433100.91415930068</v>
      </c>
      <c r="M106" s="80">
        <f t="shared" si="7"/>
        <v>23937077.788331706</v>
      </c>
      <c r="N106" s="115"/>
      <c r="O106"/>
    </row>
    <row r="107" spans="1:15" x14ac:dyDescent="0.2">
      <c r="A107" s="77">
        <v>41883</v>
      </c>
      <c r="B107" s="83">
        <v>19789369.230769232</v>
      </c>
      <c r="C107" s="83">
        <v>4651478.6804999998</v>
      </c>
      <c r="D107" s="89">
        <f t="shared" si="9"/>
        <v>41.35</v>
      </c>
      <c r="E107" s="89">
        <f t="shared" si="9"/>
        <v>52.5</v>
      </c>
      <c r="F107" s="79">
        <v>30</v>
      </c>
      <c r="G107" s="80">
        <v>1</v>
      </c>
      <c r="H107" s="87">
        <v>149.67731382949896</v>
      </c>
      <c r="I107" s="80">
        <v>105</v>
      </c>
      <c r="J107" s="81">
        <f t="shared" si="12"/>
        <v>14337.000000000002</v>
      </c>
      <c r="K107" s="88">
        <v>336</v>
      </c>
      <c r="L107" s="78">
        <f>'CDM Activity'!C125</f>
        <v>429043.23974931333</v>
      </c>
      <c r="M107" s="80">
        <f t="shared" si="7"/>
        <v>19014142.46725744</v>
      </c>
      <c r="N107" s="115"/>
      <c r="O107"/>
    </row>
    <row r="108" spans="1:15" x14ac:dyDescent="0.2">
      <c r="A108" s="77">
        <v>41913</v>
      </c>
      <c r="B108" s="83">
        <v>18224553.846153844</v>
      </c>
      <c r="C108" s="83">
        <v>3859455.1677999995</v>
      </c>
      <c r="D108" s="89">
        <f t="shared" si="9"/>
        <v>195.32</v>
      </c>
      <c r="E108" s="89">
        <f t="shared" si="9"/>
        <v>7.5399999999999991</v>
      </c>
      <c r="F108" s="79">
        <v>31</v>
      </c>
      <c r="G108" s="80">
        <v>1</v>
      </c>
      <c r="H108" s="87">
        <v>150.00999071256246</v>
      </c>
      <c r="I108" s="80">
        <v>106</v>
      </c>
      <c r="J108" s="81">
        <f t="shared" si="12"/>
        <v>14343.833333333336</v>
      </c>
      <c r="K108" s="88">
        <v>352</v>
      </c>
      <c r="L108" s="78">
        <f>'CDM Activity'!C126</f>
        <v>424985.56533932599</v>
      </c>
      <c r="M108" s="80">
        <f t="shared" si="7"/>
        <v>18416001.431598768</v>
      </c>
      <c r="N108" s="115"/>
      <c r="O108"/>
    </row>
    <row r="109" spans="1:15" x14ac:dyDescent="0.2">
      <c r="A109" s="77">
        <v>41944</v>
      </c>
      <c r="B109" s="83">
        <v>20282892.307692308</v>
      </c>
      <c r="C109" s="83">
        <v>3693169.9103999999</v>
      </c>
      <c r="D109" s="89">
        <f t="shared" si="9"/>
        <v>380.09</v>
      </c>
      <c r="E109" s="89">
        <f t="shared" si="9"/>
        <v>0</v>
      </c>
      <c r="F109" s="79">
        <v>30</v>
      </c>
      <c r="G109" s="80">
        <v>1</v>
      </c>
      <c r="H109" s="87">
        <v>150.34340701234646</v>
      </c>
      <c r="I109" s="80">
        <v>107</v>
      </c>
      <c r="J109" s="81">
        <f t="shared" si="12"/>
        <v>14350.66666666667</v>
      </c>
      <c r="K109" s="88">
        <v>304</v>
      </c>
      <c r="L109" s="78">
        <f>'CDM Activity'!C127</f>
        <v>420927.89092933864</v>
      </c>
      <c r="M109" s="80">
        <f t="shared" si="7"/>
        <v>18795472.383682255</v>
      </c>
      <c r="N109" s="115"/>
      <c r="O109"/>
    </row>
    <row r="110" spans="1:15" x14ac:dyDescent="0.2">
      <c r="A110" s="77">
        <v>41974</v>
      </c>
      <c r="B110" s="83">
        <v>22057292.307692308</v>
      </c>
      <c r="C110" s="83">
        <v>4458615.4165999992</v>
      </c>
      <c r="D110" s="89">
        <f t="shared" si="9"/>
        <v>546.31999999999994</v>
      </c>
      <c r="E110" s="89">
        <f t="shared" si="9"/>
        <v>0</v>
      </c>
      <c r="F110" s="79">
        <v>31</v>
      </c>
      <c r="G110" s="80">
        <v>0</v>
      </c>
      <c r="H110" s="87">
        <v>150.67756437229883</v>
      </c>
      <c r="I110" s="80">
        <v>108</v>
      </c>
      <c r="J110" s="81">
        <f t="shared" si="12"/>
        <v>14357.500000000004</v>
      </c>
      <c r="K110" s="88">
        <v>336</v>
      </c>
      <c r="L110" s="78">
        <f>'CDM Activity'!C128</f>
        <v>416870.21651935129</v>
      </c>
      <c r="M110" s="80">
        <f t="shared" si="7"/>
        <v>22069743.149751201</v>
      </c>
      <c r="N110" s="115"/>
      <c r="O110"/>
    </row>
    <row r="111" spans="1:15" x14ac:dyDescent="0.2">
      <c r="A111" s="77">
        <v>42005</v>
      </c>
      <c r="B111" s="83">
        <v>24198407.692307692</v>
      </c>
      <c r="C111" s="83">
        <v>4837546.0217000004</v>
      </c>
      <c r="D111" s="89">
        <f t="shared" si="9"/>
        <v>665.55</v>
      </c>
      <c r="E111" s="89">
        <f t="shared" si="9"/>
        <v>0</v>
      </c>
      <c r="F111" s="89">
        <v>31</v>
      </c>
      <c r="G111" s="80">
        <v>0</v>
      </c>
      <c r="H111" s="87">
        <v>150.98793548444445</v>
      </c>
      <c r="I111" s="80">
        <v>109</v>
      </c>
      <c r="J111" s="81">
        <f t="shared" si="12"/>
        <v>14364.333333333338</v>
      </c>
      <c r="K111" s="88">
        <v>336</v>
      </c>
      <c r="L111" s="78">
        <f>'CDM Activity'!C129</f>
        <v>425342.71821790445</v>
      </c>
      <c r="M111" s="80">
        <f t="shared" si="7"/>
        <v>23248188.622839779</v>
      </c>
      <c r="N111" s="115"/>
      <c r="O111"/>
    </row>
    <row r="112" spans="1:15" x14ac:dyDescent="0.2">
      <c r="A112" s="77">
        <v>42036</v>
      </c>
      <c r="B112" s="83">
        <v>22363023.07692308</v>
      </c>
      <c r="C112" s="83">
        <v>5406885.3720999993</v>
      </c>
      <c r="D112" s="89">
        <f t="shared" si="9"/>
        <v>619.5</v>
      </c>
      <c r="E112" s="89">
        <f t="shared" si="9"/>
        <v>0</v>
      </c>
      <c r="F112" s="89">
        <v>28</v>
      </c>
      <c r="G112" s="80">
        <v>0</v>
      </c>
      <c r="H112" s="87">
        <v>151.298945910264</v>
      </c>
      <c r="I112" s="80">
        <v>110</v>
      </c>
      <c r="J112" s="81">
        <f t="shared" si="12"/>
        <v>14371.166666666672</v>
      </c>
      <c r="K112" s="88">
        <v>304</v>
      </c>
      <c r="L112" s="78">
        <f>'CDM Activity'!C130</f>
        <v>433815.2199164576</v>
      </c>
      <c r="M112" s="80">
        <f t="shared" si="7"/>
        <v>21262170.028395023</v>
      </c>
      <c r="N112" s="115"/>
      <c r="O112"/>
    </row>
    <row r="113" spans="1:17" x14ac:dyDescent="0.2">
      <c r="A113" s="77">
        <v>42064</v>
      </c>
      <c r="B113" s="83">
        <v>20856446.153846156</v>
      </c>
      <c r="C113" s="83">
        <v>5070655.2399000004</v>
      </c>
      <c r="D113" s="89">
        <f t="shared" si="9"/>
        <v>476.25000000000011</v>
      </c>
      <c r="E113" s="89">
        <f t="shared" si="9"/>
        <v>0.6100000000000001</v>
      </c>
      <c r="F113" s="89">
        <v>31</v>
      </c>
      <c r="G113" s="80">
        <v>1</v>
      </c>
      <c r="H113" s="87">
        <v>151.61059696663892</v>
      </c>
      <c r="I113" s="80">
        <v>111</v>
      </c>
      <c r="J113" s="81">
        <f t="shared" si="12"/>
        <v>14378.000000000005</v>
      </c>
      <c r="K113" s="88">
        <v>352</v>
      </c>
      <c r="L113" s="78">
        <f>'CDM Activity'!C131</f>
        <v>442287.72161501076</v>
      </c>
      <c r="M113" s="80">
        <f t="shared" si="7"/>
        <v>21077658.368201837</v>
      </c>
      <c r="N113" s="115"/>
      <c r="O113"/>
    </row>
    <row r="114" spans="1:17" x14ac:dyDescent="0.2">
      <c r="A114" s="77">
        <v>42095</v>
      </c>
      <c r="B114" s="83">
        <v>17544146.153846156</v>
      </c>
      <c r="C114" s="83">
        <v>4477583.7236000001</v>
      </c>
      <c r="D114" s="89">
        <f t="shared" si="9"/>
        <v>258.87</v>
      </c>
      <c r="E114" s="89">
        <f t="shared" si="9"/>
        <v>1.67</v>
      </c>
      <c r="F114" s="89">
        <v>30</v>
      </c>
      <c r="G114" s="80">
        <v>1</v>
      </c>
      <c r="H114" s="87">
        <v>151.92288997316331</v>
      </c>
      <c r="I114" s="80">
        <v>112</v>
      </c>
      <c r="J114" s="81">
        <f t="shared" si="12"/>
        <v>14384.833333333339</v>
      </c>
      <c r="K114" s="88">
        <v>336</v>
      </c>
      <c r="L114" s="78">
        <f>'CDM Activity'!C132</f>
        <v>450760.22331356391</v>
      </c>
      <c r="M114" s="80">
        <f t="shared" si="7"/>
        <v>18380604.897723552</v>
      </c>
      <c r="N114" s="115"/>
      <c r="O114"/>
    </row>
    <row r="115" spans="1:17" x14ac:dyDescent="0.2">
      <c r="A115" s="77">
        <v>42125</v>
      </c>
      <c r="B115" s="83">
        <v>17949553.846153844</v>
      </c>
      <c r="C115" s="83">
        <v>3596673.5806000005</v>
      </c>
      <c r="D115" s="89">
        <f t="shared" si="9"/>
        <v>92.039999999999992</v>
      </c>
      <c r="E115" s="89">
        <f t="shared" si="9"/>
        <v>37.67</v>
      </c>
      <c r="F115" s="79">
        <v>31</v>
      </c>
      <c r="G115" s="80">
        <v>1</v>
      </c>
      <c r="H115" s="87">
        <v>152.23582625214937</v>
      </c>
      <c r="I115" s="80">
        <v>113</v>
      </c>
      <c r="J115" s="81">
        <f t="shared" si="12"/>
        <v>14391.666666666673</v>
      </c>
      <c r="K115" s="88">
        <v>320</v>
      </c>
      <c r="L115" s="78">
        <f>'CDM Activity'!C133</f>
        <v>459232.72501211707</v>
      </c>
      <c r="M115" s="80">
        <f t="shared" si="7"/>
        <v>18773922.304978903</v>
      </c>
      <c r="N115" s="115"/>
      <c r="O115"/>
    </row>
    <row r="116" spans="1:17" x14ac:dyDescent="0.2">
      <c r="A116" s="77">
        <v>42156</v>
      </c>
      <c r="B116" s="83">
        <v>20138192.307692308</v>
      </c>
      <c r="C116" s="83">
        <v>3482875.7376999999</v>
      </c>
      <c r="D116" s="89">
        <f t="shared" si="9"/>
        <v>11.260000000000002</v>
      </c>
      <c r="E116" s="89">
        <f t="shared" si="9"/>
        <v>104.91000000000001</v>
      </c>
      <c r="F116" s="79">
        <v>30</v>
      </c>
      <c r="G116" s="80">
        <v>0</v>
      </c>
      <c r="H116" s="87">
        <v>152.54940712863302</v>
      </c>
      <c r="I116" s="80">
        <v>114</v>
      </c>
      <c r="J116" s="82">
        <f>'Rate Class Customer Model'!I13</f>
        <v>14398.5</v>
      </c>
      <c r="K116" s="88">
        <v>352</v>
      </c>
      <c r="L116" s="78">
        <f>'CDM Activity'!C134</f>
        <v>467705.22671067022</v>
      </c>
      <c r="M116" s="80">
        <f t="shared" si="7"/>
        <v>21228170.588541932</v>
      </c>
      <c r="N116" s="115"/>
      <c r="O116"/>
    </row>
    <row r="117" spans="1:17" x14ac:dyDescent="0.2">
      <c r="A117" s="77">
        <v>42186</v>
      </c>
      <c r="B117" s="83">
        <v>23747715.384615384</v>
      </c>
      <c r="C117" s="83">
        <v>3939319.1234999998</v>
      </c>
      <c r="D117" s="89">
        <f t="shared" si="9"/>
        <v>0.93</v>
      </c>
      <c r="E117" s="89">
        <f t="shared" si="9"/>
        <v>168.14</v>
      </c>
      <c r="F117" s="79">
        <v>31</v>
      </c>
      <c r="G117" s="80">
        <v>0</v>
      </c>
      <c r="H117" s="87">
        <v>152.86363393037959</v>
      </c>
      <c r="I117" s="80">
        <v>115</v>
      </c>
      <c r="J117" s="81">
        <f t="shared" ref="J117:J127" si="13">($J$128-$J$116)/12+J116</f>
        <v>14406.846970233795</v>
      </c>
      <c r="K117" s="88">
        <v>352</v>
      </c>
      <c r="L117" s="78">
        <f>'CDM Activity'!C135</f>
        <v>476177.72840922337</v>
      </c>
      <c r="M117" s="80">
        <f t="shared" si="7"/>
        <v>24887635.30834968</v>
      </c>
      <c r="N117" s="115"/>
      <c r="O117"/>
    </row>
    <row r="118" spans="1:17" x14ac:dyDescent="0.2">
      <c r="A118" s="77">
        <v>42217</v>
      </c>
      <c r="B118" s="83">
        <v>23252784.615384616</v>
      </c>
      <c r="C118" s="83">
        <v>4864445.517599999</v>
      </c>
      <c r="D118" s="89">
        <f t="shared" si="9"/>
        <v>2.57</v>
      </c>
      <c r="E118" s="89">
        <f t="shared" si="9"/>
        <v>138.56</v>
      </c>
      <c r="F118" s="79">
        <v>31</v>
      </c>
      <c r="G118" s="80">
        <v>0</v>
      </c>
      <c r="H118" s="87">
        <v>153.17850798788936</v>
      </c>
      <c r="I118" s="80">
        <v>116</v>
      </c>
      <c r="J118" s="81">
        <f t="shared" si="13"/>
        <v>14415.19394046759</v>
      </c>
      <c r="K118" s="88">
        <v>320</v>
      </c>
      <c r="L118" s="78">
        <f>'CDM Activity'!C136</f>
        <v>484650.23010777653</v>
      </c>
      <c r="M118" s="80">
        <f t="shared" si="7"/>
        <v>24146879.579884831</v>
      </c>
      <c r="N118" s="115"/>
      <c r="O118"/>
    </row>
    <row r="119" spans="1:17" x14ac:dyDescent="0.2">
      <c r="A119" s="77">
        <v>42248</v>
      </c>
      <c r="B119" s="83">
        <v>21319146.153846156</v>
      </c>
      <c r="C119" s="83">
        <v>4787983.4689000007</v>
      </c>
      <c r="D119" s="89">
        <f t="shared" si="9"/>
        <v>41.35</v>
      </c>
      <c r="E119" s="89">
        <f t="shared" si="9"/>
        <v>52.5</v>
      </c>
      <c r="F119" s="79">
        <v>30</v>
      </c>
      <c r="G119" s="80">
        <v>1</v>
      </c>
      <c r="H119" s="87">
        <v>153.4940306344032</v>
      </c>
      <c r="I119" s="80">
        <v>117</v>
      </c>
      <c r="J119" s="81">
        <f t="shared" si="13"/>
        <v>14423.540910701386</v>
      </c>
      <c r="K119" s="88">
        <v>336</v>
      </c>
      <c r="L119" s="78">
        <f>'CDM Activity'!C137</f>
        <v>493122.73180632968</v>
      </c>
      <c r="M119" s="80">
        <f t="shared" si="7"/>
        <v>19096888.766276088</v>
      </c>
      <c r="N119" s="115"/>
      <c r="O119"/>
    </row>
    <row r="120" spans="1:17" x14ac:dyDescent="0.2">
      <c r="A120" s="77">
        <v>42278</v>
      </c>
      <c r="B120" s="83">
        <v>17917492.307692308</v>
      </c>
      <c r="C120" s="83">
        <v>4326418.4132000003</v>
      </c>
      <c r="D120" s="89">
        <f t="shared" si="9"/>
        <v>195.32</v>
      </c>
      <c r="E120" s="89">
        <f t="shared" si="9"/>
        <v>7.5399999999999991</v>
      </c>
      <c r="F120" s="79">
        <v>31</v>
      </c>
      <c r="G120" s="80">
        <v>1</v>
      </c>
      <c r="H120" s="87">
        <v>153.81020320590829</v>
      </c>
      <c r="I120" s="80">
        <v>118</v>
      </c>
      <c r="J120" s="81">
        <f t="shared" si="13"/>
        <v>14431.887880935181</v>
      </c>
      <c r="K120" s="88">
        <v>336</v>
      </c>
      <c r="L120" s="78">
        <f>'CDM Activity'!C138</f>
        <v>501595.23350488284</v>
      </c>
      <c r="M120" s="80">
        <f t="shared" si="7"/>
        <v>18699064.617787972</v>
      </c>
      <c r="N120" s="115"/>
      <c r="O120"/>
    </row>
    <row r="121" spans="1:17" x14ac:dyDescent="0.2">
      <c r="A121" s="77">
        <v>42309</v>
      </c>
      <c r="B121" s="83">
        <v>18378200</v>
      </c>
      <c r="C121" s="83">
        <v>3680115.9922199999</v>
      </c>
      <c r="D121" s="89">
        <f t="shared" si="9"/>
        <v>380.09</v>
      </c>
      <c r="E121" s="89">
        <f t="shared" si="9"/>
        <v>0</v>
      </c>
      <c r="F121" s="79">
        <v>30</v>
      </c>
      <c r="G121" s="80">
        <v>1</v>
      </c>
      <c r="H121" s="87">
        <v>154.12702704114372</v>
      </c>
      <c r="I121" s="80">
        <v>119</v>
      </c>
      <c r="J121" s="81">
        <f t="shared" si="13"/>
        <v>14440.234851168976</v>
      </c>
      <c r="K121" s="88">
        <v>320</v>
      </c>
      <c r="L121" s="78">
        <f>'CDM Activity'!C139</f>
        <v>510067.73520343599</v>
      </c>
      <c r="M121" s="80">
        <f t="shared" si="7"/>
        <v>18787559.376162533</v>
      </c>
      <c r="N121" s="115"/>
      <c r="O121"/>
    </row>
    <row r="122" spans="1:17" x14ac:dyDescent="0.2">
      <c r="A122" s="77">
        <v>42339</v>
      </c>
      <c r="B122" s="83">
        <v>20053746.153846152</v>
      </c>
      <c r="C122" s="83">
        <v>3626360.0458399998</v>
      </c>
      <c r="D122" s="89">
        <f t="shared" si="9"/>
        <v>546.31999999999994</v>
      </c>
      <c r="E122" s="89">
        <f t="shared" si="9"/>
        <v>0</v>
      </c>
      <c r="F122" s="79">
        <v>31</v>
      </c>
      <c r="G122" s="80">
        <v>0</v>
      </c>
      <c r="H122" s="87">
        <v>154.44450348160629</v>
      </c>
      <c r="I122" s="80">
        <v>120</v>
      </c>
      <c r="J122" s="81">
        <f t="shared" si="13"/>
        <v>14448.581821402771</v>
      </c>
      <c r="K122" s="88">
        <v>352</v>
      </c>
      <c r="L122" s="78">
        <f>'CDM Activity'!C140</f>
        <v>518540.23690198915</v>
      </c>
      <c r="M122" s="80">
        <f t="shared" si="7"/>
        <v>21565247.647608195</v>
      </c>
      <c r="N122" s="115"/>
      <c r="O122"/>
    </row>
    <row r="123" spans="1:17" x14ac:dyDescent="0.2">
      <c r="A123" s="77">
        <v>42370</v>
      </c>
      <c r="C123" s="71">
        <f>'Rate Class Energy Model'!$N$54/'Rate Class Energy Model'!$N$16*'Purchased Power Model  WN'!C111</f>
        <v>4681967.8416601736</v>
      </c>
      <c r="D123" s="86">
        <f>'Weather Analysis'!W8</f>
        <v>665.55</v>
      </c>
      <c r="E123" s="86">
        <f>'Weather Analysis'!W28</f>
        <v>0</v>
      </c>
      <c r="F123" s="79">
        <v>31</v>
      </c>
      <c r="G123" s="80">
        <v>0</v>
      </c>
      <c r="H123" s="87">
        <v>154.72483615659849</v>
      </c>
      <c r="I123" s="80">
        <v>121</v>
      </c>
      <c r="J123" s="81">
        <f t="shared" si="13"/>
        <v>14456.928791636567</v>
      </c>
      <c r="K123" s="88">
        <v>320</v>
      </c>
      <c r="L123" s="78">
        <f>'CDM Activity'!C141</f>
        <v>509844.64212260727</v>
      </c>
      <c r="M123" s="80">
        <f t="shared" si="7"/>
        <v>23153880.439535402</v>
      </c>
      <c r="N123" s="115"/>
      <c r="O123"/>
    </row>
    <row r="124" spans="1:17" x14ac:dyDescent="0.2">
      <c r="A124" s="77">
        <v>42401</v>
      </c>
      <c r="C124" s="71">
        <f>'Rate Class Energy Model'!$N$54/'Rate Class Energy Model'!$N$16*'Purchased Power Model  WN'!C112</f>
        <v>5232996.9207856543</v>
      </c>
      <c r="D124" s="86">
        <f>'Weather Analysis'!W9</f>
        <v>619.5</v>
      </c>
      <c r="E124" s="86">
        <f>'Weather Analysis'!W29</f>
        <v>0</v>
      </c>
      <c r="F124" s="79">
        <v>29</v>
      </c>
      <c r="G124" s="80">
        <v>0</v>
      </c>
      <c r="H124" s="87">
        <v>155.00567766425806</v>
      </c>
      <c r="I124" s="80">
        <v>122</v>
      </c>
      <c r="J124" s="81">
        <f t="shared" si="13"/>
        <v>14465.275761870362</v>
      </c>
      <c r="K124" s="88">
        <v>320</v>
      </c>
      <c r="L124" s="78">
        <f>'CDM Activity'!C142</f>
        <v>501149.04734322539</v>
      </c>
      <c r="M124" s="80">
        <f t="shared" si="7"/>
        <v>21811665.055347823</v>
      </c>
      <c r="N124" s="115"/>
      <c r="O124"/>
      <c r="P124" s="64"/>
      <c r="Q124" s="64"/>
    </row>
    <row r="125" spans="1:17" x14ac:dyDescent="0.2">
      <c r="A125" s="77">
        <v>42430</v>
      </c>
      <c r="C125" s="71">
        <f>'Rate Class Energy Model'!$N$54/'Rate Class Energy Model'!$N$16*'Purchased Power Model  WN'!C113</f>
        <v>4907580.1372974981</v>
      </c>
      <c r="D125" s="86">
        <f>'Weather Analysis'!W10</f>
        <v>476.25000000000011</v>
      </c>
      <c r="E125" s="86">
        <f>'Weather Analysis'!W30</f>
        <v>0.6100000000000001</v>
      </c>
      <c r="F125" s="79">
        <v>31</v>
      </c>
      <c r="G125" s="80">
        <v>1</v>
      </c>
      <c r="H125" s="87">
        <v>155.2870289281687</v>
      </c>
      <c r="I125" s="80">
        <v>123</v>
      </c>
      <c r="J125" s="81">
        <f t="shared" si="13"/>
        <v>14473.622732104157</v>
      </c>
      <c r="K125" s="88">
        <v>352</v>
      </c>
      <c r="L125" s="78">
        <f>'CDM Activity'!C143</f>
        <v>492453.45256384352</v>
      </c>
      <c r="M125" s="80">
        <f t="shared" si="7"/>
        <v>20978805.709913377</v>
      </c>
      <c r="N125" s="115"/>
      <c r="O125"/>
    </row>
    <row r="126" spans="1:17" x14ac:dyDescent="0.2">
      <c r="A126" s="77">
        <v>42461</v>
      </c>
      <c r="C126" s="71">
        <f>'Rate Class Energy Model'!$N$54/'Rate Class Energy Model'!$N$16*'Purchased Power Model  WN'!C114</f>
        <v>4333582.1319730049</v>
      </c>
      <c r="D126" s="86">
        <f>'Weather Analysis'!W11</f>
        <v>258.87</v>
      </c>
      <c r="E126" s="86">
        <f>'Weather Analysis'!W31</f>
        <v>1.67</v>
      </c>
      <c r="F126" s="79">
        <v>30</v>
      </c>
      <c r="G126" s="80">
        <v>1</v>
      </c>
      <c r="H126" s="87">
        <v>155.56889087359048</v>
      </c>
      <c r="I126" s="80">
        <v>124</v>
      </c>
      <c r="J126" s="81">
        <f t="shared" si="13"/>
        <v>14481.969702337952</v>
      </c>
      <c r="K126" s="88">
        <v>336</v>
      </c>
      <c r="L126" s="78">
        <f>'CDM Activity'!C144</f>
        <v>483757.85778446164</v>
      </c>
      <c r="M126" s="80">
        <f t="shared" si="7"/>
        <v>18293314.196059573</v>
      </c>
      <c r="N126" s="115"/>
      <c r="O126"/>
    </row>
    <row r="127" spans="1:17" x14ac:dyDescent="0.2">
      <c r="A127" s="77">
        <v>42491</v>
      </c>
      <c r="C127" s="71">
        <f>'Rate Class Energy Model'!$N$54/'Rate Class Energy Model'!$N$16*'Purchased Power Model  WN'!C115</f>
        <v>3481002.5508346991</v>
      </c>
      <c r="D127" s="86">
        <f>'Weather Analysis'!W12</f>
        <v>92.039999999999992</v>
      </c>
      <c r="E127" s="86">
        <f>'Weather Analysis'!W32</f>
        <v>37.67</v>
      </c>
      <c r="F127" s="79">
        <v>31</v>
      </c>
      <c r="G127" s="80">
        <v>1</v>
      </c>
      <c r="H127" s="87">
        <v>155.85126442746289</v>
      </c>
      <c r="I127" s="80">
        <v>125</v>
      </c>
      <c r="J127" s="81">
        <f t="shared" si="13"/>
        <v>14490.316672571747</v>
      </c>
      <c r="K127" s="88">
        <v>336</v>
      </c>
      <c r="L127" s="78">
        <f>'CDM Activity'!C145</f>
        <v>475062.26300507976</v>
      </c>
      <c r="M127" s="80">
        <f t="shared" si="7"/>
        <v>18703804.987272013</v>
      </c>
      <c r="N127" s="115"/>
      <c r="O127"/>
    </row>
    <row r="128" spans="1:17" x14ac:dyDescent="0.2">
      <c r="A128" s="77">
        <v>42522</v>
      </c>
      <c r="C128" s="71">
        <f>'Rate Class Energy Model'!$N$54/'Rate Class Energy Model'!$N$16*'Purchased Power Model  WN'!C116</f>
        <v>3370864.5100764087</v>
      </c>
      <c r="D128" s="86">
        <f>'Weather Analysis'!W13</f>
        <v>11.260000000000002</v>
      </c>
      <c r="E128" s="86">
        <f>'Weather Analysis'!W33</f>
        <v>104.91000000000001</v>
      </c>
      <c r="F128" s="79">
        <v>30</v>
      </c>
      <c r="G128" s="80">
        <v>0</v>
      </c>
      <c r="H128" s="87">
        <v>156.13415051840798</v>
      </c>
      <c r="I128" s="80">
        <v>126</v>
      </c>
      <c r="J128" s="82">
        <f>'Rate Class Customer Model'!I14</f>
        <v>14498.66364280555</v>
      </c>
      <c r="K128" s="88">
        <v>352</v>
      </c>
      <c r="L128" s="78">
        <f>'CDM Activity'!C146</f>
        <v>466366.66822569788</v>
      </c>
      <c r="M128" s="80">
        <f t="shared" si="7"/>
        <v>21160271.765042584</v>
      </c>
      <c r="N128" s="115"/>
      <c r="O128"/>
    </row>
    <row r="129" spans="1:17" x14ac:dyDescent="0.2">
      <c r="A129" s="77">
        <v>42552</v>
      </c>
      <c r="C129" s="71">
        <f>'Rate Class Energy Model'!$N$54/'Rate Class Energy Model'!$N$16*'Purchased Power Model  WN'!C117</f>
        <v>3812628.421834108</v>
      </c>
      <c r="D129" s="86">
        <f>'Weather Analysis'!W14</f>
        <v>0.93</v>
      </c>
      <c r="E129" s="86">
        <f>'Weather Analysis'!W34</f>
        <v>168.14</v>
      </c>
      <c r="F129" s="79">
        <v>31</v>
      </c>
      <c r="G129" s="80">
        <v>0</v>
      </c>
      <c r="H129" s="87">
        <v>156.41755007673331</v>
      </c>
      <c r="I129" s="80">
        <v>127</v>
      </c>
      <c r="J129" s="81">
        <f t="shared" ref="J129:J134" si="14">($J$128-$J$116)/12+J128</f>
        <v>14507.010613039345</v>
      </c>
      <c r="K129" s="88">
        <v>320</v>
      </c>
      <c r="L129" s="78">
        <f>'CDM Activity'!C147</f>
        <v>457671.073446316</v>
      </c>
      <c r="M129" s="80">
        <f t="shared" si="7"/>
        <v>24810838.099945463</v>
      </c>
      <c r="N129" s="115"/>
      <c r="O129"/>
    </row>
    <row r="130" spans="1:17" x14ac:dyDescent="0.2">
      <c r="A130" s="77">
        <v>42583</v>
      </c>
      <c r="C130" s="71">
        <f>'Rate Class Energy Model'!$N$54/'Rate Class Energy Model'!$N$16*'Purchased Power Model  WN'!C118</f>
        <v>4708002.2347585987</v>
      </c>
      <c r="D130" s="86">
        <f>'Weather Analysis'!W15</f>
        <v>2.57</v>
      </c>
      <c r="E130" s="86">
        <f>'Weather Analysis'!W35</f>
        <v>138.56</v>
      </c>
      <c r="F130" s="79">
        <v>31</v>
      </c>
      <c r="G130" s="80">
        <v>0</v>
      </c>
      <c r="H130" s="87">
        <v>156.70146403443502</v>
      </c>
      <c r="I130" s="80">
        <v>128</v>
      </c>
      <c r="J130" s="81">
        <f t="shared" si="14"/>
        <v>14515.35758327314</v>
      </c>
      <c r="K130" s="88">
        <v>352</v>
      </c>
      <c r="L130" s="78">
        <f>'CDM Activity'!C148</f>
        <v>448975.47866693413</v>
      </c>
      <c r="M130" s="80">
        <f t="shared" si="7"/>
        <v>24052046.989664476</v>
      </c>
      <c r="N130" s="115"/>
      <c r="O130"/>
    </row>
    <row r="131" spans="1:17" x14ac:dyDescent="0.2">
      <c r="A131" s="77">
        <v>42614</v>
      </c>
      <c r="C131" s="71">
        <f>'Rate Class Energy Model'!$N$54/'Rate Class Energy Model'!$N$16*'Purchased Power Model  WN'!C119</f>
        <v>4633999.2482205937</v>
      </c>
      <c r="D131" s="86">
        <f>'Weather Analysis'!W16</f>
        <v>41.35</v>
      </c>
      <c r="E131" s="86">
        <f>'Weather Analysis'!W36</f>
        <v>52.5</v>
      </c>
      <c r="F131" s="79">
        <v>30</v>
      </c>
      <c r="G131" s="80">
        <v>1</v>
      </c>
      <c r="H131" s="87">
        <v>156.98589332520095</v>
      </c>
      <c r="I131" s="80">
        <v>129</v>
      </c>
      <c r="J131" s="81">
        <f t="shared" si="14"/>
        <v>14523.704553506936</v>
      </c>
      <c r="K131" s="88">
        <v>336</v>
      </c>
      <c r="L131" s="78">
        <f>'CDM Activity'!C149</f>
        <v>440279.88388755225</v>
      </c>
      <c r="M131" s="80">
        <f t="shared" si="7"/>
        <v>19003546.80722953</v>
      </c>
      <c r="N131" s="115"/>
      <c r="O131"/>
    </row>
    <row r="132" spans="1:17" x14ac:dyDescent="0.2">
      <c r="A132" s="77">
        <v>42644</v>
      </c>
      <c r="C132" s="71">
        <f>'Rate Class Energy Model'!$N$54/'Rate Class Energy Model'!$N$16*'Purchased Power Model  WN'!C120</f>
        <v>4187278.3823254383</v>
      </c>
      <c r="D132" s="86">
        <f>'Weather Analysis'!W17</f>
        <v>195.32</v>
      </c>
      <c r="E132" s="86">
        <f>'Weather Analysis'!W37</f>
        <v>7.5399999999999991</v>
      </c>
      <c r="F132" s="79">
        <v>31</v>
      </c>
      <c r="G132" s="80">
        <v>1</v>
      </c>
      <c r="H132" s="87">
        <v>157.27083888441365</v>
      </c>
      <c r="I132" s="80">
        <v>130</v>
      </c>
      <c r="J132" s="81">
        <f t="shared" si="14"/>
        <v>14532.051523740731</v>
      </c>
      <c r="K132" s="88">
        <v>320</v>
      </c>
      <c r="L132" s="78">
        <f>'CDM Activity'!C150</f>
        <v>431584.28910817037</v>
      </c>
      <c r="M132" s="80">
        <f t="shared" ref="M132:M146" si="15">$P$18+C132*$P$19+D132*$P$20+E132*$P$21+F132*$P$22+G132*$P$23</f>
        <v>18614720.890837729</v>
      </c>
      <c r="N132" s="115"/>
      <c r="O132"/>
    </row>
    <row r="133" spans="1:17" x14ac:dyDescent="0.2">
      <c r="A133" s="77">
        <v>42675</v>
      </c>
      <c r="C133" s="71">
        <f>'Rate Class Energy Model'!$N$54/'Rate Class Energy Model'!$N$16*'Purchased Power Model  WN'!C121</f>
        <v>3561761.4079252449</v>
      </c>
      <c r="D133" s="86">
        <f>'Weather Analysis'!W18</f>
        <v>380.09</v>
      </c>
      <c r="E133" s="86">
        <f>'Weather Analysis'!W38</f>
        <v>0</v>
      </c>
      <c r="F133" s="79">
        <v>30</v>
      </c>
      <c r="G133" s="80">
        <v>1</v>
      </c>
      <c r="H133" s="87">
        <v>157.55630164915351</v>
      </c>
      <c r="I133" s="80">
        <v>131</v>
      </c>
      <c r="J133" s="81">
        <f t="shared" si="14"/>
        <v>14540.398493974526</v>
      </c>
      <c r="K133" s="88">
        <v>336</v>
      </c>
      <c r="L133" s="78">
        <f>'CDM Activity'!C151</f>
        <v>422888.69432878849</v>
      </c>
      <c r="M133" s="80">
        <f t="shared" si="15"/>
        <v>18715815.344784055</v>
      </c>
      <c r="N133" s="115"/>
      <c r="O133"/>
    </row>
    <row r="134" spans="1:17" x14ac:dyDescent="0.2">
      <c r="A134" s="77">
        <v>42705</v>
      </c>
      <c r="C134" s="71">
        <f>'Rate Class Energy Model'!$N$54/'Rate Class Energy Model'!$N$16*'Purchased Power Model  WN'!C122</f>
        <v>3509734.2827836582</v>
      </c>
      <c r="D134" s="86">
        <f>'Weather Analysis'!W19</f>
        <v>546.31999999999994</v>
      </c>
      <c r="E134" s="86">
        <f>'Weather Analysis'!W39</f>
        <v>0</v>
      </c>
      <c r="F134" s="79">
        <v>31</v>
      </c>
      <c r="G134" s="80">
        <v>0</v>
      </c>
      <c r="H134" s="87">
        <v>157.84228255820162</v>
      </c>
      <c r="I134" s="80">
        <v>132</v>
      </c>
      <c r="J134" s="81">
        <f t="shared" si="14"/>
        <v>14548.745464208321</v>
      </c>
      <c r="K134" s="88">
        <v>336</v>
      </c>
      <c r="L134" s="78">
        <f>'CDM Activity'!C152</f>
        <v>414193.09954940662</v>
      </c>
      <c r="M134" s="80">
        <f t="shared" si="15"/>
        <v>21494551.590889219</v>
      </c>
      <c r="N134" s="115"/>
      <c r="O134"/>
    </row>
    <row r="135" spans="1:17" x14ac:dyDescent="0.2">
      <c r="A135" s="77">
        <v>42736</v>
      </c>
      <c r="C135" s="71">
        <f>'Rate Class Energy Model'!$N$55/'Rate Class Energy Model'!$N$16*'Purchased Power Model  WN'!C111</f>
        <v>4531393.1427233536</v>
      </c>
      <c r="D135" s="86">
        <f>D123</f>
        <v>665.55</v>
      </c>
      <c r="E135" s="86">
        <f>E123</f>
        <v>0</v>
      </c>
      <c r="F135" s="79">
        <v>31</v>
      </c>
      <c r="G135" s="80">
        <v>0</v>
      </c>
      <c r="H135" s="87">
        <v>158.15454692394951</v>
      </c>
      <c r="I135" s="80">
        <v>133</v>
      </c>
      <c r="J135" s="81"/>
      <c r="K135" s="88"/>
      <c r="L135" s="78"/>
      <c r="M135" s="80">
        <f t="shared" si="15"/>
        <v>23062605.260042362</v>
      </c>
      <c r="N135" s="115"/>
      <c r="O135"/>
    </row>
    <row r="136" spans="1:17" x14ac:dyDescent="0.2">
      <c r="A136" s="77">
        <v>42767</v>
      </c>
      <c r="C136" s="71">
        <f>'Rate Class Energy Model'!$N$55/'Rate Class Energy Model'!$N$16*'Purchased Power Model  WN'!C112</f>
        <v>5064700.8191180276</v>
      </c>
      <c r="D136" s="86">
        <f t="shared" ref="D136:E146" si="16">D124</f>
        <v>619.5</v>
      </c>
      <c r="E136" s="86">
        <f t="shared" si="16"/>
        <v>0</v>
      </c>
      <c r="F136" s="79">
        <v>28</v>
      </c>
      <c r="G136" s="80">
        <v>0</v>
      </c>
      <c r="H136" s="87">
        <v>158.46742905214063</v>
      </c>
      <c r="I136" s="80">
        <v>134</v>
      </c>
      <c r="J136" s="81"/>
      <c r="K136" s="88"/>
      <c r="L136" s="78"/>
      <c r="M136" s="80">
        <f t="shared" si="15"/>
        <v>21054745.031275958</v>
      </c>
      <c r="N136" s="115"/>
      <c r="O136"/>
      <c r="P136" s="64"/>
      <c r="Q136" s="64"/>
    </row>
    <row r="137" spans="1:17" x14ac:dyDescent="0.2">
      <c r="A137" s="77">
        <v>42795</v>
      </c>
      <c r="C137" s="71">
        <f>'Rate Class Energy Model'!$N$55/'Rate Class Energy Model'!$N$16*'Purchased Power Model  WN'!C113</f>
        <v>4749749.6210118793</v>
      </c>
      <c r="D137" s="86">
        <f t="shared" si="16"/>
        <v>476.25000000000011</v>
      </c>
      <c r="E137" s="86">
        <f t="shared" si="16"/>
        <v>0.6100000000000001</v>
      </c>
      <c r="F137" s="79">
        <v>31</v>
      </c>
      <c r="G137" s="80">
        <v>1</v>
      </c>
      <c r="H137" s="87">
        <v>158.78093016491388</v>
      </c>
      <c r="I137" s="80">
        <v>135</v>
      </c>
      <c r="J137" s="81"/>
      <c r="K137" s="88"/>
      <c r="L137" s="78"/>
      <c r="M137" s="80">
        <f t="shared" si="15"/>
        <v>20883132.208288159</v>
      </c>
      <c r="N137" s="115"/>
      <c r="O137"/>
    </row>
    <row r="138" spans="1:17" x14ac:dyDescent="0.2">
      <c r="A138" s="77">
        <v>42826</v>
      </c>
      <c r="C138" s="71">
        <f>'Rate Class Energy Model'!$N$55/'Rate Class Energy Model'!$N$16*'Purchased Power Model  WN'!C114</f>
        <v>4194211.7119044131</v>
      </c>
      <c r="D138" s="86">
        <f t="shared" si="16"/>
        <v>258.87</v>
      </c>
      <c r="E138" s="86">
        <f t="shared" si="16"/>
        <v>1.67</v>
      </c>
      <c r="F138" s="79">
        <v>30</v>
      </c>
      <c r="G138" s="80">
        <v>1</v>
      </c>
      <c r="H138" s="87">
        <v>159.09505148682601</v>
      </c>
      <c r="I138" s="80">
        <v>136</v>
      </c>
      <c r="J138" s="81"/>
      <c r="K138" s="88"/>
      <c r="L138" s="78"/>
      <c r="M138" s="80">
        <f t="shared" si="15"/>
        <v>18208830.812080715</v>
      </c>
      <c r="N138" s="115"/>
      <c r="O138"/>
    </row>
    <row r="139" spans="1:17" x14ac:dyDescent="0.2">
      <c r="A139" s="77">
        <v>42856</v>
      </c>
      <c r="C139" s="71">
        <f>'Rate Class Energy Model'!$N$55/'Rate Class Energy Model'!$N$16*'Purchased Power Model  WN'!C115</f>
        <v>3369051.5659461785</v>
      </c>
      <c r="D139" s="86">
        <f t="shared" si="16"/>
        <v>92.039999999999992</v>
      </c>
      <c r="E139" s="86">
        <f t="shared" si="16"/>
        <v>37.67</v>
      </c>
      <c r="F139" s="79">
        <v>31</v>
      </c>
      <c r="G139" s="80">
        <v>1</v>
      </c>
      <c r="H139" s="87">
        <v>159.4097942448563</v>
      </c>
      <c r="I139" s="80">
        <v>137</v>
      </c>
      <c r="J139" s="81"/>
      <c r="K139" s="88"/>
      <c r="L139" s="78"/>
      <c r="M139" s="80">
        <f t="shared" si="15"/>
        <v>18635942.68163719</v>
      </c>
      <c r="N139" s="115"/>
      <c r="O139"/>
    </row>
    <row r="140" spans="1:17" x14ac:dyDescent="0.2">
      <c r="A140" s="77">
        <v>42887</v>
      </c>
      <c r="C140" s="71">
        <f>'Rate Class Energy Model'!$N$55/'Rate Class Energy Model'!$N$16*'Purchased Power Model  WN'!C116</f>
        <v>3262455.6260500746</v>
      </c>
      <c r="D140" s="86">
        <f t="shared" si="16"/>
        <v>11.260000000000002</v>
      </c>
      <c r="E140" s="86">
        <f t="shared" si="16"/>
        <v>104.91000000000001</v>
      </c>
      <c r="F140" s="79">
        <v>30</v>
      </c>
      <c r="G140" s="80">
        <v>0</v>
      </c>
      <c r="H140" s="87">
        <v>159.72515966841141</v>
      </c>
      <c r="I140" s="80">
        <v>138</v>
      </c>
      <c r="J140" s="81"/>
      <c r="K140" s="88"/>
      <c r="L140" s="78"/>
      <c r="M140" s="80">
        <f t="shared" si="15"/>
        <v>21094556.605603378</v>
      </c>
      <c r="N140" s="115"/>
      <c r="O140"/>
    </row>
    <row r="141" spans="1:17" x14ac:dyDescent="0.2">
      <c r="A141" s="77">
        <v>42917</v>
      </c>
      <c r="C141" s="71">
        <f>'Rate Class Energy Model'!$N$55/'Rate Class Energy Model'!$N$16*'Purchased Power Model  WN'!C117</f>
        <v>3690012.1638437351</v>
      </c>
      <c r="D141" s="86">
        <f t="shared" si="16"/>
        <v>0.93</v>
      </c>
      <c r="E141" s="86">
        <f t="shared" si="16"/>
        <v>168.14</v>
      </c>
      <c r="F141" s="79">
        <v>31</v>
      </c>
      <c r="G141" s="80">
        <v>0</v>
      </c>
      <c r="H141" s="87">
        <v>160.0411489893302</v>
      </c>
      <c r="I141" s="80">
        <v>139</v>
      </c>
      <c r="J141" s="81"/>
      <c r="K141" s="88"/>
      <c r="L141" s="78"/>
      <c r="M141" s="80">
        <f t="shared" si="15"/>
        <v>24736510.73262639</v>
      </c>
      <c r="N141" s="115"/>
      <c r="O141"/>
    </row>
    <row r="142" spans="1:17" x14ac:dyDescent="0.2">
      <c r="A142" s="77">
        <v>42948</v>
      </c>
      <c r="C142" s="71">
        <f>'Rate Class Energy Model'!$N$55/'Rate Class Energy Model'!$N$16*'Purchased Power Model  WN'!C118</f>
        <v>4556590.2552091451</v>
      </c>
      <c r="D142" s="86">
        <f t="shared" si="16"/>
        <v>2.57</v>
      </c>
      <c r="E142" s="86">
        <f t="shared" si="16"/>
        <v>138.56</v>
      </c>
      <c r="F142" s="79">
        <v>31</v>
      </c>
      <c r="G142" s="80">
        <v>0</v>
      </c>
      <c r="H142" s="87">
        <v>160.35776344188849</v>
      </c>
      <c r="I142" s="80">
        <v>140</v>
      </c>
      <c r="J142" s="81"/>
      <c r="K142" s="88"/>
      <c r="L142" s="78"/>
      <c r="M142" s="80">
        <f t="shared" si="15"/>
        <v>23960264.268474568</v>
      </c>
      <c r="N142" s="115"/>
      <c r="O142"/>
    </row>
    <row r="143" spans="1:17" x14ac:dyDescent="0.2">
      <c r="A143" s="77">
        <v>42979</v>
      </c>
      <c r="C143" s="71">
        <f>'Rate Class Energy Model'!$N$55/'Rate Class Energy Model'!$N$16*'Purchased Power Model  WN'!C119</f>
        <v>4484967.2460215259</v>
      </c>
      <c r="D143" s="86">
        <f t="shared" si="16"/>
        <v>41.35</v>
      </c>
      <c r="E143" s="86">
        <f t="shared" si="16"/>
        <v>52.5</v>
      </c>
      <c r="F143" s="79">
        <v>30</v>
      </c>
      <c r="G143" s="80">
        <v>1</v>
      </c>
      <c r="H143" s="87">
        <v>160.67500426280395</v>
      </c>
      <c r="I143" s="80">
        <v>141</v>
      </c>
      <c r="J143" s="81"/>
      <c r="K143" s="88"/>
      <c r="L143" s="78"/>
      <c r="M143" s="80">
        <f t="shared" si="15"/>
        <v>18913206.777682904</v>
      </c>
      <c r="N143" s="115"/>
      <c r="O143"/>
    </row>
    <row r="144" spans="1:17" x14ac:dyDescent="0.2">
      <c r="A144" s="77">
        <v>43009</v>
      </c>
      <c r="C144" s="71">
        <f>'Rate Class Energy Model'!$N$55/'Rate Class Energy Model'!$N$16*'Purchased Power Model  WN'!C120</f>
        <v>4052613.1725020963</v>
      </c>
      <c r="D144" s="86">
        <f t="shared" si="16"/>
        <v>195.32</v>
      </c>
      <c r="E144" s="86">
        <f t="shared" si="16"/>
        <v>7.5399999999999991</v>
      </c>
      <c r="F144" s="79">
        <v>31</v>
      </c>
      <c r="G144" s="80">
        <v>1</v>
      </c>
      <c r="H144" s="87">
        <v>160.99287269124085</v>
      </c>
      <c r="I144" s="80">
        <v>142</v>
      </c>
      <c r="J144" s="81"/>
      <c r="K144" s="88"/>
      <c r="L144" s="78"/>
      <c r="M144" s="80">
        <f t="shared" si="15"/>
        <v>18533089.705221009</v>
      </c>
      <c r="N144" s="115"/>
      <c r="O144"/>
    </row>
    <row r="145" spans="1:15" x14ac:dyDescent="0.2">
      <c r="A145" s="77">
        <v>43040</v>
      </c>
      <c r="C145" s="71">
        <f>'Rate Class Energy Model'!$N$55/'Rate Class Energy Model'!$N$16*'Purchased Power Model  WN'!C121</f>
        <v>3447213.1731187114</v>
      </c>
      <c r="D145" s="86">
        <f t="shared" si="16"/>
        <v>380.09</v>
      </c>
      <c r="E145" s="86">
        <f t="shared" si="16"/>
        <v>0</v>
      </c>
      <c r="F145" s="79">
        <v>30</v>
      </c>
      <c r="G145" s="80">
        <v>1</v>
      </c>
      <c r="H145" s="87">
        <v>161.31136996881492</v>
      </c>
      <c r="I145" s="80">
        <v>143</v>
      </c>
      <c r="J145" s="81"/>
      <c r="K145" s="88"/>
      <c r="L145" s="78"/>
      <c r="M145" s="80">
        <f t="shared" si="15"/>
        <v>18646378.641497243</v>
      </c>
      <c r="N145" s="115"/>
      <c r="O145"/>
    </row>
    <row r="146" spans="1:15" x14ac:dyDescent="0.2">
      <c r="A146" s="77">
        <v>43070</v>
      </c>
      <c r="C146" s="71">
        <f>'Rate Class Energy Model'!$N$55/'Rate Class Energy Model'!$N$16*'Purchased Power Model  WN'!C122</f>
        <v>3396859.269359604</v>
      </c>
      <c r="D146" s="86">
        <f t="shared" si="16"/>
        <v>546.31999999999994</v>
      </c>
      <c r="E146" s="86">
        <f t="shared" si="16"/>
        <v>0</v>
      </c>
      <c r="F146" s="79">
        <v>31</v>
      </c>
      <c r="G146" s="80">
        <v>0</v>
      </c>
      <c r="H146" s="87">
        <v>161.63049733959846</v>
      </c>
      <c r="I146" s="80">
        <v>144</v>
      </c>
      <c r="J146" s="81"/>
      <c r="K146" s="88"/>
      <c r="L146" s="78"/>
      <c r="M146" s="80">
        <f t="shared" si="15"/>
        <v>21426129.158811953</v>
      </c>
      <c r="N146" s="115"/>
      <c r="O146"/>
    </row>
    <row r="147" spans="1:15" x14ac:dyDescent="0.2">
      <c r="A147" s="77"/>
      <c r="D147"/>
      <c r="E147"/>
      <c r="M147" s="91">
        <f>SUM(M3:M146)</f>
        <v>3004758372.6059179</v>
      </c>
    </row>
    <row r="148" spans="1:15" x14ac:dyDescent="0.2">
      <c r="A148" s="77"/>
    </row>
    <row r="149" spans="1:15" x14ac:dyDescent="0.2">
      <c r="A149" s="70">
        <v>2006</v>
      </c>
      <c r="B149" s="71">
        <f>SUM(B3:B14)</f>
        <v>213838930</v>
      </c>
      <c r="D149" s="92"/>
      <c r="M149" s="71">
        <f>SUM(M3:M14)</f>
        <v>219573980.41542327</v>
      </c>
    </row>
    <row r="150" spans="1:15" x14ac:dyDescent="0.2">
      <c r="A150" s="93">
        <v>2007</v>
      </c>
      <c r="B150" s="71">
        <f>SUM(B15:B26)</f>
        <v>271076220</v>
      </c>
      <c r="D150" s="92"/>
      <c r="M150" s="71">
        <f>SUM(M15:M26)</f>
        <v>260593042.44091734</v>
      </c>
    </row>
    <row r="151" spans="1:15" x14ac:dyDescent="0.2">
      <c r="A151" s="70">
        <v>2008</v>
      </c>
      <c r="B151" s="71">
        <f>SUM(B27:B38)</f>
        <v>262640600</v>
      </c>
      <c r="D151" s="92"/>
      <c r="M151" s="71">
        <f>SUM(M27:M38)</f>
        <v>256180630.20133746</v>
      </c>
    </row>
    <row r="152" spans="1:15" x14ac:dyDescent="0.2">
      <c r="A152" s="93">
        <v>2009</v>
      </c>
      <c r="B152" s="71">
        <f>SUM(B39:B50)</f>
        <v>248858578.46153846</v>
      </c>
      <c r="D152" s="92"/>
      <c r="M152" s="71">
        <f>SUM(M39:M50)</f>
        <v>253057290.06343457</v>
      </c>
    </row>
    <row r="153" spans="1:15" x14ac:dyDescent="0.2">
      <c r="A153" s="70">
        <v>2010</v>
      </c>
      <c r="B153" s="71">
        <f>SUM(B51:B62)</f>
        <v>261284907.69230774</v>
      </c>
      <c r="D153" s="92"/>
      <c r="M153" s="71">
        <f>SUM(M51:M62)</f>
        <v>251089225.08849913</v>
      </c>
    </row>
    <row r="154" spans="1:15" x14ac:dyDescent="0.2">
      <c r="A154" s="70">
        <v>2011</v>
      </c>
      <c r="B154" s="71">
        <f>SUM(B63:B74)</f>
        <v>255035715.38461539</v>
      </c>
      <c r="D154" s="94"/>
      <c r="E154" s="95"/>
      <c r="M154" s="71">
        <f>SUM(M63:M74)</f>
        <v>254133677.89694893</v>
      </c>
    </row>
    <row r="155" spans="1:15" ht="13.5" customHeight="1" x14ac:dyDescent="0.2">
      <c r="A155" s="70">
        <v>2012</v>
      </c>
      <c r="B155" s="71">
        <f>SUM(B75:B86)</f>
        <v>246901827.27272725</v>
      </c>
      <c r="D155" s="92"/>
      <c r="M155" s="71">
        <f>SUM(M75:M86)</f>
        <v>253066031.90329424</v>
      </c>
    </row>
    <row r="156" spans="1:15" ht="13.5" customHeight="1" x14ac:dyDescent="0.2">
      <c r="A156" s="70">
        <v>2013</v>
      </c>
      <c r="B156" s="71">
        <f>SUM(B87:B98)</f>
        <v>247681431.06060606</v>
      </c>
      <c r="D156" s="92"/>
      <c r="M156" s="71">
        <f>SUM(M87:M98)</f>
        <v>252214251.47970971</v>
      </c>
      <c r="N156" s="71"/>
    </row>
    <row r="157" spans="1:15" ht="13.5" customHeight="1" x14ac:dyDescent="0.2">
      <c r="A157" s="70">
        <v>2014</v>
      </c>
      <c r="B157" s="71">
        <f>SUM(B99:B110)</f>
        <v>249772655.12820518</v>
      </c>
      <c r="D157" s="92"/>
      <c r="M157" s="71">
        <f>SUM(M99:M110)</f>
        <v>253747599.24984008</v>
      </c>
      <c r="N157" s="71"/>
    </row>
    <row r="158" spans="1:15" ht="13.5" customHeight="1" x14ac:dyDescent="0.2">
      <c r="A158" s="70">
        <v>2015</v>
      </c>
      <c r="B158" s="71">
        <f>SUM(B111:B122)</f>
        <v>247718853.84615383</v>
      </c>
      <c r="D158" s="92"/>
      <c r="M158" s="71">
        <f>SUM(M111:M122)</f>
        <v>251153990.10675034</v>
      </c>
      <c r="N158" s="71"/>
    </row>
    <row r="159" spans="1:15" ht="13.5" customHeight="1" x14ac:dyDescent="0.2">
      <c r="A159" s="70">
        <v>2016</v>
      </c>
      <c r="C159" s="91"/>
      <c r="D159" s="91"/>
      <c r="M159" s="91">
        <f>SUM(M123:M134)</f>
        <v>250793261.8765212</v>
      </c>
      <c r="N159" s="71"/>
    </row>
    <row r="160" spans="1:15" ht="13.5" customHeight="1" x14ac:dyDescent="0.2">
      <c r="A160" s="70">
        <v>2017</v>
      </c>
      <c r="C160" s="91"/>
      <c r="D160" s="91"/>
      <c r="M160" s="91">
        <f>SUM(M135:M146)</f>
        <v>249155391.88324183</v>
      </c>
      <c r="N160" s="71"/>
    </row>
    <row r="161" spans="1:15" ht="13.5" customHeight="1" x14ac:dyDescent="0.2">
      <c r="D161" s="92"/>
      <c r="M161" s="91"/>
      <c r="N161" s="71"/>
    </row>
    <row r="162" spans="1:15" ht="13.5" customHeight="1" x14ac:dyDescent="0.2">
      <c r="A162" s="93"/>
      <c r="D162" s="92"/>
      <c r="N162" s="71"/>
    </row>
    <row r="163" spans="1:15" x14ac:dyDescent="0.2">
      <c r="A163" s="145" t="s">
        <v>153</v>
      </c>
      <c r="B163" s="71">
        <f>SUM(B149:B158)</f>
        <v>2504809718.8461537</v>
      </c>
      <c r="M163" s="71">
        <f>SUM(M149:M158)</f>
        <v>2504809718.8461552</v>
      </c>
      <c r="N163" s="71">
        <f>B163-M163</f>
        <v>0</v>
      </c>
    </row>
    <row r="164" spans="1:15" x14ac:dyDescent="0.2">
      <c r="O164"/>
    </row>
    <row r="165" spans="1:15" x14ac:dyDescent="0.2">
      <c r="M165" s="71">
        <f>SUM(M149:M160)</f>
        <v>3004758372.6059179</v>
      </c>
      <c r="N165" s="71">
        <f>M147-M165</f>
        <v>0</v>
      </c>
      <c r="O165"/>
    </row>
    <row r="166" spans="1:15" x14ac:dyDescent="0.2">
      <c r="B166" s="96"/>
      <c r="G166" s="384" t="s">
        <v>143</v>
      </c>
      <c r="H166" s="384"/>
      <c r="I166" s="384"/>
      <c r="J166" s="384"/>
      <c r="K166" s="384"/>
      <c r="L166" s="384"/>
      <c r="M166" s="384"/>
      <c r="N166" s="384"/>
      <c r="O166"/>
    </row>
    <row r="167" spans="1:15" x14ac:dyDescent="0.2">
      <c r="O167"/>
    </row>
    <row r="168" spans="1:15" x14ac:dyDescent="0.2">
      <c r="B168" s="96" t="s">
        <v>74</v>
      </c>
      <c r="O168"/>
    </row>
    <row r="169" spans="1:15" x14ac:dyDescent="0.2">
      <c r="A169" s="77">
        <v>42736</v>
      </c>
      <c r="C169" s="71">
        <f>C135</f>
        <v>4531393.1427233536</v>
      </c>
      <c r="D169" s="71">
        <f>'Weather Analysis'!X8</f>
        <v>694.90729323308278</v>
      </c>
      <c r="E169" s="71">
        <f>'Weather Analysis'!X28</f>
        <v>0</v>
      </c>
      <c r="F169" s="71">
        <f t="shared" ref="F169:G169" si="17">F135</f>
        <v>31</v>
      </c>
      <c r="G169" s="71">
        <f t="shared" si="17"/>
        <v>0</v>
      </c>
      <c r="H169" s="87">
        <v>153.39479317840454</v>
      </c>
      <c r="I169" s="80">
        <v>133</v>
      </c>
      <c r="J169" s="81">
        <f>($J$128-$J$116)/12+J168</f>
        <v>8.3469702337958243</v>
      </c>
      <c r="K169" s="88">
        <v>320</v>
      </c>
      <c r="L169" s="78">
        <f>'CDM Activity'!C175</f>
        <v>0</v>
      </c>
      <c r="M169" s="80">
        <f t="shared" ref="M169:M180" si="18">$P$18+C169*$P$19+D169*$P$20+E169*$P$21+F169*$P$22+G169*$P$23</f>
        <v>23296209.291567009</v>
      </c>
      <c r="N169" s="80"/>
      <c r="O169"/>
    </row>
    <row r="170" spans="1:15" x14ac:dyDescent="0.2">
      <c r="A170" s="77">
        <v>42767</v>
      </c>
      <c r="C170" s="71">
        <f t="shared" ref="C170:G180" si="19">C136</f>
        <v>5064700.8191180276</v>
      </c>
      <c r="D170" s="71">
        <f>'Weather Analysis'!X9</f>
        <v>670.11375939849677</v>
      </c>
      <c r="E170" s="71">
        <f>'Weather Analysis'!X29</f>
        <v>0</v>
      </c>
      <c r="F170" s="71">
        <f t="shared" si="19"/>
        <v>28</v>
      </c>
      <c r="G170" s="71">
        <f t="shared" si="19"/>
        <v>0</v>
      </c>
      <c r="H170" s="87">
        <v>153.69825893564374</v>
      </c>
      <c r="I170" s="80">
        <v>134</v>
      </c>
      <c r="J170" s="81">
        <f>($J$128-$J$116)/12+J169</f>
        <v>16.693940467591649</v>
      </c>
      <c r="K170" s="88">
        <v>320</v>
      </c>
      <c r="L170" s="78">
        <f>'CDM Activity'!C176</f>
        <v>0</v>
      </c>
      <c r="M170" s="80">
        <f t="shared" si="18"/>
        <v>21457492.592239212</v>
      </c>
      <c r="N170" s="80"/>
      <c r="O170"/>
    </row>
    <row r="171" spans="1:15" x14ac:dyDescent="0.2">
      <c r="A171" s="77">
        <v>42795</v>
      </c>
      <c r="C171" s="71">
        <f t="shared" si="19"/>
        <v>4749749.6210118793</v>
      </c>
      <c r="D171" s="71">
        <f>'Weather Analysis'!X10</f>
        <v>480.00112781954886</v>
      </c>
      <c r="E171" s="71">
        <f>'Weather Analysis'!X30</f>
        <v>0.4806015037593987</v>
      </c>
      <c r="F171" s="71">
        <f t="shared" si="19"/>
        <v>31</v>
      </c>
      <c r="G171" s="71">
        <f t="shared" si="19"/>
        <v>1</v>
      </c>
      <c r="H171" s="87">
        <v>154.00232504876143</v>
      </c>
      <c r="I171" s="80">
        <v>135</v>
      </c>
      <c r="J171" s="81">
        <f>($J$128-$J$116)/12+J170</f>
        <v>25.040910701387475</v>
      </c>
      <c r="K171" s="88">
        <v>352</v>
      </c>
      <c r="L171" s="78">
        <f>'CDM Activity'!C177</f>
        <v>0</v>
      </c>
      <c r="M171" s="80">
        <f t="shared" si="18"/>
        <v>20907230.218704209</v>
      </c>
      <c r="N171" s="80"/>
      <c r="O171"/>
    </row>
    <row r="172" spans="1:15" x14ac:dyDescent="0.2">
      <c r="A172" s="77">
        <v>42826</v>
      </c>
      <c r="C172" s="71">
        <f t="shared" si="19"/>
        <v>4194211.7119044131</v>
      </c>
      <c r="D172" s="71">
        <f>'Weather Analysis'!X11</f>
        <v>251.59789473684214</v>
      </c>
      <c r="E172" s="71">
        <f>'Weather Analysis'!X31</f>
        <v>1.8065413533834587</v>
      </c>
      <c r="F172" s="71">
        <f t="shared" si="19"/>
        <v>30</v>
      </c>
      <c r="G172" s="71">
        <f t="shared" si="19"/>
        <v>1</v>
      </c>
      <c r="H172" s="87">
        <v>154.3069927054606</v>
      </c>
      <c r="I172" s="80">
        <v>136</v>
      </c>
      <c r="J172" s="81">
        <f>($J$128-$J$116)/12+J171</f>
        <v>33.387880935183297</v>
      </c>
      <c r="K172" s="88">
        <v>336</v>
      </c>
      <c r="L172" s="78">
        <f>'CDM Activity'!C178</f>
        <v>0</v>
      </c>
      <c r="M172" s="80">
        <f t="shared" si="18"/>
        <v>18157032.862393215</v>
      </c>
      <c r="N172" s="80"/>
      <c r="O172"/>
    </row>
    <row r="173" spans="1:15" x14ac:dyDescent="0.2">
      <c r="A173" s="77">
        <v>42856</v>
      </c>
      <c r="C173" s="71">
        <f t="shared" si="19"/>
        <v>3369051.5659461785</v>
      </c>
      <c r="D173" s="71">
        <f>'Weather Analysis'!X12</f>
        <v>74.01924812030029</v>
      </c>
      <c r="E173" s="71">
        <f>'Weather Analysis'!X32</f>
        <v>43.507443609022175</v>
      </c>
      <c r="F173" s="71">
        <f t="shared" si="19"/>
        <v>31</v>
      </c>
      <c r="G173" s="71">
        <f t="shared" si="19"/>
        <v>1</v>
      </c>
      <c r="H173" s="87">
        <v>154.61226309579388</v>
      </c>
      <c r="I173" s="80">
        <v>137</v>
      </c>
      <c r="J173" s="81">
        <f>($J$128-$J$116)/12+J172</f>
        <v>41.73485116897912</v>
      </c>
      <c r="K173" s="88">
        <v>336</v>
      </c>
      <c r="L173" s="78">
        <f>'CDM Activity'!C179</f>
        <v>0</v>
      </c>
      <c r="M173" s="80">
        <f t="shared" si="18"/>
        <v>18751974.92603334</v>
      </c>
      <c r="N173" s="80"/>
      <c r="O173"/>
    </row>
    <row r="174" spans="1:15" x14ac:dyDescent="0.2">
      <c r="A174" s="77">
        <v>42887</v>
      </c>
      <c r="C174" s="71">
        <f t="shared" si="19"/>
        <v>3262455.6260500746</v>
      </c>
      <c r="D174" s="71">
        <f>'Weather Analysis'!X13</f>
        <v>8.6001503759400748</v>
      </c>
      <c r="E174" s="71">
        <f>'Weather Analysis'!X33</f>
        <v>102.14676691729323</v>
      </c>
      <c r="F174" s="71">
        <f t="shared" si="19"/>
        <v>30</v>
      </c>
      <c r="G174" s="71">
        <f t="shared" si="19"/>
        <v>0</v>
      </c>
      <c r="H174" s="87">
        <v>154.91813741216822</v>
      </c>
      <c r="I174" s="80">
        <v>138</v>
      </c>
      <c r="J174" s="82">
        <f>'Rate Class Customer Model'!I49</f>
        <v>0</v>
      </c>
      <c r="K174" s="88">
        <v>352</v>
      </c>
      <c r="L174" s="78">
        <f>'CDM Activity'!C180</f>
        <v>0</v>
      </c>
      <c r="M174" s="80">
        <f t="shared" si="18"/>
        <v>20950587.545617305</v>
      </c>
      <c r="N174" s="80"/>
      <c r="O174"/>
    </row>
    <row r="175" spans="1:15" x14ac:dyDescent="0.2">
      <c r="A175" s="77">
        <v>42917</v>
      </c>
      <c r="C175" s="71">
        <f t="shared" si="19"/>
        <v>3690012.1638437351</v>
      </c>
      <c r="D175" s="71">
        <f>'Weather Analysis'!X14</f>
        <v>1.0918045112781947</v>
      </c>
      <c r="E175" s="71">
        <f>'Weather Analysis'!X34</f>
        <v>172.60518796992483</v>
      </c>
      <c r="F175" s="71">
        <f t="shared" si="19"/>
        <v>31</v>
      </c>
      <c r="G175" s="71">
        <f t="shared" si="19"/>
        <v>0</v>
      </c>
      <c r="H175" s="87">
        <v>155.22461684934959</v>
      </c>
      <c r="I175" s="80">
        <v>139</v>
      </c>
      <c r="J175" s="81">
        <f t="shared" ref="J175:J180" si="20">($J$128-$J$116)/12+J174</f>
        <v>8.3469702337958243</v>
      </c>
      <c r="K175" s="88">
        <v>320</v>
      </c>
      <c r="L175" s="78">
        <f>'CDM Activity'!C181</f>
        <v>0</v>
      </c>
      <c r="M175" s="80">
        <f t="shared" si="18"/>
        <v>24936240.628194429</v>
      </c>
      <c r="N175" s="80"/>
      <c r="O175"/>
    </row>
    <row r="176" spans="1:15" x14ac:dyDescent="0.2">
      <c r="A176" s="77">
        <v>42948</v>
      </c>
      <c r="C176" s="71">
        <f t="shared" si="19"/>
        <v>4556590.2552091451</v>
      </c>
      <c r="D176" s="71">
        <f>'Weather Analysis'!X15</f>
        <v>2.9381203007518906</v>
      </c>
      <c r="E176" s="71">
        <f>'Weather Analysis'!X35</f>
        <v>140.60383458646606</v>
      </c>
      <c r="F176" s="71">
        <f t="shared" si="19"/>
        <v>31</v>
      </c>
      <c r="G176" s="71">
        <f t="shared" si="19"/>
        <v>0</v>
      </c>
      <c r="H176" s="87">
        <v>155.53170260446751</v>
      </c>
      <c r="I176" s="80">
        <v>140</v>
      </c>
      <c r="J176" s="81">
        <f t="shared" si="20"/>
        <v>16.693940467591649</v>
      </c>
      <c r="K176" s="88">
        <v>352</v>
      </c>
      <c r="L176" s="78">
        <f>'CDM Activity'!C182</f>
        <v>0</v>
      </c>
      <c r="M176" s="80">
        <f t="shared" si="18"/>
        <v>24054025.823136274</v>
      </c>
      <c r="N176" s="80"/>
      <c r="O176"/>
    </row>
    <row r="177" spans="1:15" x14ac:dyDescent="0.2">
      <c r="A177" s="77">
        <v>42979</v>
      </c>
      <c r="C177" s="71">
        <f t="shared" si="19"/>
        <v>4484967.2460215259</v>
      </c>
      <c r="D177" s="71">
        <f>'Weather Analysis'!X16</f>
        <v>40.126466165413547</v>
      </c>
      <c r="E177" s="71">
        <f>'Weather Analysis'!X36</f>
        <v>55.952781954887229</v>
      </c>
      <c r="F177" s="71">
        <f t="shared" si="19"/>
        <v>30</v>
      </c>
      <c r="G177" s="71">
        <f t="shared" si="19"/>
        <v>1</v>
      </c>
      <c r="H177" s="87">
        <v>155.83939587701994</v>
      </c>
      <c r="I177" s="80">
        <v>141</v>
      </c>
      <c r="J177" s="81">
        <f t="shared" si="20"/>
        <v>25.040910701387475</v>
      </c>
      <c r="K177" s="88">
        <v>336</v>
      </c>
      <c r="L177" s="78">
        <f>'CDM Activity'!C183</f>
        <v>0</v>
      </c>
      <c r="M177" s="80">
        <f t="shared" si="18"/>
        <v>19056919.697215665</v>
      </c>
      <c r="N177" s="80"/>
      <c r="O177"/>
    </row>
    <row r="178" spans="1:15" x14ac:dyDescent="0.2">
      <c r="A178" s="77">
        <v>43009</v>
      </c>
      <c r="C178" s="71">
        <f t="shared" si="19"/>
        <v>4052613.1725020963</v>
      </c>
      <c r="D178" s="71">
        <f>'Weather Analysis'!X17</f>
        <v>187.91481203007515</v>
      </c>
      <c r="E178" s="71">
        <f>'Weather Analysis'!X37</f>
        <v>6.6640601503759456</v>
      </c>
      <c r="F178" s="71">
        <f t="shared" si="19"/>
        <v>31</v>
      </c>
      <c r="G178" s="71">
        <f t="shared" si="19"/>
        <v>1</v>
      </c>
      <c r="H178" s="87">
        <v>156.14769786887774</v>
      </c>
      <c r="I178" s="80">
        <v>142</v>
      </c>
      <c r="J178" s="81">
        <f t="shared" si="20"/>
        <v>33.387880935183297</v>
      </c>
      <c r="K178" s="88">
        <v>320</v>
      </c>
      <c r="L178" s="78">
        <f>'CDM Activity'!C184</f>
        <v>0</v>
      </c>
      <c r="M178" s="80">
        <f t="shared" si="18"/>
        <v>18435235.979453679</v>
      </c>
      <c r="N178" s="80"/>
      <c r="O178"/>
    </row>
    <row r="179" spans="1:15" x14ac:dyDescent="0.2">
      <c r="A179" s="77">
        <v>43040</v>
      </c>
      <c r="C179" s="71">
        <f t="shared" si="19"/>
        <v>3447213.1731187114</v>
      </c>
      <c r="D179" s="71">
        <f>'Weather Analysis'!X18</f>
        <v>369.92270676691737</v>
      </c>
      <c r="E179" s="71">
        <f>'Weather Analysis'!X38</f>
        <v>0</v>
      </c>
      <c r="F179" s="71">
        <f t="shared" si="19"/>
        <v>30</v>
      </c>
      <c r="G179" s="71">
        <f t="shared" si="19"/>
        <v>1</v>
      </c>
      <c r="H179" s="87">
        <v>156.45660978428953</v>
      </c>
      <c r="I179" s="80">
        <v>143</v>
      </c>
      <c r="J179" s="81">
        <f t="shared" si="20"/>
        <v>41.73485116897912</v>
      </c>
      <c r="K179" s="88">
        <v>336</v>
      </c>
      <c r="L179" s="78">
        <f>'CDM Activity'!C185</f>
        <v>0</v>
      </c>
      <c r="M179" s="80">
        <f t="shared" si="18"/>
        <v>18565474.701543245</v>
      </c>
      <c r="N179" s="80"/>
      <c r="O179"/>
    </row>
    <row r="180" spans="1:15" x14ac:dyDescent="0.2">
      <c r="A180" s="77">
        <v>43070</v>
      </c>
      <c r="C180" s="71">
        <f t="shared" si="19"/>
        <v>3396859.269359604</v>
      </c>
      <c r="D180" s="71">
        <f>'Weather Analysis'!X19</f>
        <v>527.74022556390901</v>
      </c>
      <c r="E180" s="71">
        <f>'Weather Analysis'!X39</f>
        <v>0</v>
      </c>
      <c r="F180" s="71">
        <f t="shared" si="19"/>
        <v>31</v>
      </c>
      <c r="G180" s="71">
        <f t="shared" si="19"/>
        <v>0</v>
      </c>
      <c r="H180" s="87">
        <v>156.7661328298864</v>
      </c>
      <c r="I180" s="80">
        <v>144</v>
      </c>
      <c r="J180" s="81">
        <f t="shared" si="20"/>
        <v>50.081821402774942</v>
      </c>
      <c r="K180" s="88">
        <v>336</v>
      </c>
      <c r="L180" s="78">
        <f>'CDM Activity'!C186</f>
        <v>0</v>
      </c>
      <c r="M180" s="80">
        <f t="shared" si="18"/>
        <v>21278284.799366776</v>
      </c>
      <c r="N180" s="80">
        <f>SUM(M169:M180)</f>
        <v>249846709.06546438</v>
      </c>
      <c r="O180"/>
    </row>
    <row r="181" spans="1:15" x14ac:dyDescent="0.2">
      <c r="E181" s="71"/>
    </row>
    <row r="192" spans="1:15" x14ac:dyDescent="0.2">
      <c r="O192" s="35"/>
    </row>
  </sheetData>
  <mergeCells count="2">
    <mergeCell ref="I1:L1"/>
    <mergeCell ref="G166:N166"/>
  </mergeCells>
  <pageMargins left="0.38" right="0.75" top="0.73" bottom="0.74" header="0.5" footer="0.5"/>
  <pageSetup scale="3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2:P7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3" sqref="D13"/>
    </sheetView>
  </sheetViews>
  <sheetFormatPr defaultRowHeight="12.75" x14ac:dyDescent="0.2"/>
  <cols>
    <col min="1" max="1" width="11" customWidth="1"/>
    <col min="2" max="5" width="18" style="1" customWidth="1"/>
    <col min="6" max="6" width="15.7109375" style="1" customWidth="1"/>
    <col min="7" max="7" width="15.7109375" style="342" customWidth="1"/>
    <col min="8" max="8" width="15" style="6" customWidth="1"/>
    <col min="9" max="10" width="14.140625" style="6" bestFit="1" customWidth="1"/>
    <col min="11" max="12" width="14.140625" style="6" customWidth="1"/>
    <col min="13" max="13" width="14.7109375" style="6" customWidth="1"/>
    <col min="14" max="14" width="13.85546875" style="6" bestFit="1" customWidth="1"/>
    <col min="15" max="15" width="11.140625" style="6" bestFit="1" customWidth="1"/>
    <col min="16" max="18" width="10.140625" bestFit="1" customWidth="1"/>
    <col min="20" max="20" width="7.5703125" bestFit="1" customWidth="1"/>
    <col min="21" max="21" width="6.5703125" bestFit="1" customWidth="1"/>
    <col min="22" max="22" width="10.140625" bestFit="1" customWidth="1"/>
  </cols>
  <sheetData>
    <row r="2" spans="1:15" ht="42" customHeight="1" x14ac:dyDescent="0.2">
      <c r="B2" s="2" t="s">
        <v>8</v>
      </c>
      <c r="C2" s="2" t="s">
        <v>9</v>
      </c>
      <c r="D2" s="2" t="s">
        <v>41</v>
      </c>
      <c r="E2" s="2" t="s">
        <v>10</v>
      </c>
      <c r="F2" s="2" t="s">
        <v>1</v>
      </c>
      <c r="G2" s="341" t="s">
        <v>2</v>
      </c>
      <c r="H2" s="166" t="s">
        <v>167</v>
      </c>
      <c r="I2" s="167" t="s">
        <v>168</v>
      </c>
      <c r="J2" s="167" t="s">
        <v>169</v>
      </c>
      <c r="K2" s="167" t="s">
        <v>297</v>
      </c>
      <c r="L2" s="167" t="s">
        <v>298</v>
      </c>
      <c r="M2" s="167" t="s">
        <v>299</v>
      </c>
      <c r="N2" s="310" t="s">
        <v>289</v>
      </c>
    </row>
    <row r="4" spans="1:15" x14ac:dyDescent="0.2">
      <c r="A4" s="17"/>
      <c r="B4" s="29" t="s">
        <v>43</v>
      </c>
    </row>
    <row r="5" spans="1:15" x14ac:dyDescent="0.2">
      <c r="B5"/>
      <c r="C5"/>
      <c r="D5"/>
      <c r="E5"/>
      <c r="F5"/>
      <c r="G5" s="343"/>
      <c r="H5"/>
      <c r="I5"/>
      <c r="J5"/>
      <c r="K5"/>
      <c r="L5"/>
      <c r="M5"/>
      <c r="N5"/>
      <c r="O5"/>
    </row>
    <row r="7" spans="1:15" x14ac:dyDescent="0.2">
      <c r="A7">
        <f>'Purchased Power Model '!A149</f>
        <v>2006</v>
      </c>
      <c r="B7" s="6">
        <f>'Purchased Power Model '!B149</f>
        <v>213838930</v>
      </c>
      <c r="C7" s="6">
        <f>'Purchased Power Model '!M149</f>
        <v>216201613.10727879</v>
      </c>
      <c r="D7" s="27">
        <f t="shared" ref="D7:D16" si="0">C7-B7</f>
        <v>2362683.1072787941</v>
      </c>
      <c r="E7" s="5">
        <f t="shared" ref="E7:E16" si="1">D7/B7</f>
        <v>1.1048891365472106E-2</v>
      </c>
      <c r="F7" s="39">
        <f t="shared" ref="F7:F16" si="2">1 +(B7-G7)/G7</f>
        <v>1.0773385870547791</v>
      </c>
      <c r="G7" s="344">
        <f t="shared" ref="G7:G11" si="3">SUM(H7:N7)</f>
        <v>198488137.87</v>
      </c>
      <c r="H7" s="21">
        <v>91182112</v>
      </c>
      <c r="I7" s="21">
        <v>27522033</v>
      </c>
      <c r="J7" s="21">
        <v>77078801</v>
      </c>
      <c r="K7" s="21">
        <v>2249664.87</v>
      </c>
      <c r="L7" s="21">
        <v>267964</v>
      </c>
      <c r="M7" s="21">
        <v>187563</v>
      </c>
      <c r="N7" s="21">
        <v>0</v>
      </c>
    </row>
    <row r="8" spans="1:15" x14ac:dyDescent="0.2">
      <c r="A8">
        <f>'Purchased Power Model '!A150</f>
        <v>2007</v>
      </c>
      <c r="B8" s="6">
        <f>'Purchased Power Model '!B150</f>
        <v>271076220</v>
      </c>
      <c r="C8" s="6">
        <f>'Purchased Power Model '!M150</f>
        <v>264854396.69680467</v>
      </c>
      <c r="D8" s="27">
        <f t="shared" si="0"/>
        <v>-6221823.3031953275</v>
      </c>
      <c r="E8" s="5">
        <f t="shared" si="1"/>
        <v>-2.2952302135522355E-2</v>
      </c>
      <c r="F8" s="39">
        <f t="shared" si="2"/>
        <v>1.0524652191508128</v>
      </c>
      <c r="G8" s="344">
        <f t="shared" si="3"/>
        <v>257563114.73999998</v>
      </c>
      <c r="H8" s="21">
        <v>93919803</v>
      </c>
      <c r="I8" s="21">
        <v>27486362</v>
      </c>
      <c r="J8" s="21">
        <v>70538573</v>
      </c>
      <c r="K8" s="21">
        <v>2409617.98</v>
      </c>
      <c r="L8" s="21">
        <v>428118</v>
      </c>
      <c r="M8" s="21">
        <v>182802</v>
      </c>
      <c r="N8" s="21">
        <v>62597838.75999999</v>
      </c>
    </row>
    <row r="9" spans="1:15" x14ac:dyDescent="0.2">
      <c r="A9">
        <f>'Purchased Power Model '!A151</f>
        <v>2008</v>
      </c>
      <c r="B9" s="6">
        <f>'Purchased Power Model '!B151</f>
        <v>262640600</v>
      </c>
      <c r="C9" s="6">
        <f>'Purchased Power Model '!M151</f>
        <v>258505658.01721787</v>
      </c>
      <c r="D9" s="27">
        <f t="shared" si="0"/>
        <v>-4134941.9827821255</v>
      </c>
      <c r="E9" s="5">
        <f t="shared" si="1"/>
        <v>-1.5743727294188811E-2</v>
      </c>
      <c r="F9" s="39">
        <f t="shared" si="2"/>
        <v>1.05811407418628</v>
      </c>
      <c r="G9" s="344">
        <f t="shared" si="3"/>
        <v>248215770.31</v>
      </c>
      <c r="H9" s="21">
        <v>91598924</v>
      </c>
      <c r="I9" s="21">
        <v>27305136</v>
      </c>
      <c r="J9" s="21">
        <v>71763589</v>
      </c>
      <c r="K9" s="21">
        <v>2296058.59</v>
      </c>
      <c r="L9" s="21">
        <v>293947</v>
      </c>
      <c r="M9" s="21">
        <v>93339</v>
      </c>
      <c r="N9" s="21">
        <v>54864776.720000006</v>
      </c>
    </row>
    <row r="10" spans="1:15" x14ac:dyDescent="0.2">
      <c r="A10">
        <f>'Purchased Power Model '!A152</f>
        <v>2009</v>
      </c>
      <c r="B10" s="6">
        <f>'Purchased Power Model '!B152</f>
        <v>248858578.46153846</v>
      </c>
      <c r="C10" s="6">
        <f>'Purchased Power Model '!M152</f>
        <v>246911828.68177682</v>
      </c>
      <c r="D10" s="27">
        <f t="shared" si="0"/>
        <v>-1946749.7797616422</v>
      </c>
      <c r="E10" s="5">
        <f t="shared" si="1"/>
        <v>-7.8227151814359332E-3</v>
      </c>
      <c r="F10" s="39">
        <f t="shared" si="2"/>
        <v>1.0677127824893873</v>
      </c>
      <c r="G10" s="344">
        <f t="shared" si="3"/>
        <v>233076331.52177987</v>
      </c>
      <c r="H10" s="21">
        <v>89480942</v>
      </c>
      <c r="I10" s="21">
        <v>27046725</v>
      </c>
      <c r="J10" s="21">
        <v>63032184</v>
      </c>
      <c r="K10" s="21">
        <v>2082393</v>
      </c>
      <c r="L10" s="21">
        <v>285456</v>
      </c>
      <c r="M10" s="21">
        <v>50856.121779859481</v>
      </c>
      <c r="N10" s="21">
        <v>51097775.399999999</v>
      </c>
    </row>
    <row r="11" spans="1:15" x14ac:dyDescent="0.2">
      <c r="A11">
        <f>'Purchased Power Model '!A153</f>
        <v>2010</v>
      </c>
      <c r="B11" s="6">
        <f>'Purchased Power Model '!B153</f>
        <v>261284907.69230774</v>
      </c>
      <c r="C11" s="6">
        <f>'Purchased Power Model '!M153</f>
        <v>255572915.31708446</v>
      </c>
      <c r="D11" s="27">
        <f t="shared" si="0"/>
        <v>-5711992.375223279</v>
      </c>
      <c r="E11" s="5">
        <f t="shared" si="1"/>
        <v>-2.1861164602548687E-2</v>
      </c>
      <c r="F11" s="39">
        <f t="shared" si="2"/>
        <v>1.0955233645548834</v>
      </c>
      <c r="G11" s="344">
        <f t="shared" si="3"/>
        <v>238502359.82732242</v>
      </c>
      <c r="H11" s="21">
        <v>94261084</v>
      </c>
      <c r="I11" s="21">
        <v>27843390</v>
      </c>
      <c r="J11" s="21">
        <v>65599183</v>
      </c>
      <c r="K11" s="21">
        <v>2409951</v>
      </c>
      <c r="L11" s="21">
        <v>275513</v>
      </c>
      <c r="M11" s="21">
        <v>18862.52732240437</v>
      </c>
      <c r="N11" s="21">
        <v>48094376.299999997</v>
      </c>
    </row>
    <row r="12" spans="1:15" x14ac:dyDescent="0.2">
      <c r="A12">
        <f>'Purchased Power Model '!A154</f>
        <v>2011</v>
      </c>
      <c r="B12" s="6">
        <f>'Purchased Power Model '!B154</f>
        <v>255035715.38461539</v>
      </c>
      <c r="C12" s="6">
        <f>'Purchased Power Model '!M154</f>
        <v>257456890.58217561</v>
      </c>
      <c r="D12" s="27">
        <f t="shared" si="0"/>
        <v>2421175.197560221</v>
      </c>
      <c r="E12" s="5">
        <f t="shared" si="1"/>
        <v>9.49347503705073E-3</v>
      </c>
      <c r="F12" s="39">
        <f t="shared" si="2"/>
        <v>1.0541774598478884</v>
      </c>
      <c r="G12" s="344">
        <f>SUM(H12:N12)</f>
        <v>241928636.40000001</v>
      </c>
      <c r="H12" s="21">
        <v>91775630</v>
      </c>
      <c r="I12" s="21">
        <v>30635475</v>
      </c>
      <c r="J12" s="21">
        <v>64324224</v>
      </c>
      <c r="K12" s="21">
        <v>2245234</v>
      </c>
      <c r="L12" s="21">
        <v>201696</v>
      </c>
      <c r="M12" s="21">
        <v>5962</v>
      </c>
      <c r="N12" s="21">
        <v>52740415.399999999</v>
      </c>
    </row>
    <row r="13" spans="1:15" x14ac:dyDescent="0.2">
      <c r="A13">
        <f>'Purchased Power Model '!A155</f>
        <v>2012</v>
      </c>
      <c r="B13" s="6">
        <f>'Purchased Power Model '!B155</f>
        <v>246901827.27272725</v>
      </c>
      <c r="C13" s="6">
        <f>'Purchased Power Model '!M155</f>
        <v>253403283.71799523</v>
      </c>
      <c r="D13" s="27">
        <f t="shared" si="0"/>
        <v>6501456.4452679753</v>
      </c>
      <c r="E13" s="5">
        <f t="shared" si="1"/>
        <v>2.6332152001801428E-2</v>
      </c>
      <c r="F13" s="39">
        <f t="shared" si="2"/>
        <v>1.0580703705784631</v>
      </c>
      <c r="G13" s="344">
        <f t="shared" ref="G13:G16" si="4">SUM(H13:N13)</f>
        <v>233351045.58096856</v>
      </c>
      <c r="H13" s="21">
        <v>90281488</v>
      </c>
      <c r="I13" s="21">
        <f>29106126+302700</f>
        <v>29408826</v>
      </c>
      <c r="J13" s="21">
        <v>60934472.188461378</v>
      </c>
      <c r="K13" s="21">
        <v>2346377.4925071769</v>
      </c>
      <c r="L13" s="21">
        <v>262229</v>
      </c>
      <c r="M13" s="21">
        <v>5962</v>
      </c>
      <c r="N13" s="21">
        <v>50111690.900000006</v>
      </c>
    </row>
    <row r="14" spans="1:15" x14ac:dyDescent="0.2">
      <c r="A14">
        <f>'Purchased Power Model '!A156</f>
        <v>2013</v>
      </c>
      <c r="B14" s="6">
        <f>'Purchased Power Model '!B156</f>
        <v>247681431.06060606</v>
      </c>
      <c r="C14" s="6">
        <f>'Purchased Power Model '!M156</f>
        <v>251372242.30991054</v>
      </c>
      <c r="D14" s="27">
        <f t="shared" si="0"/>
        <v>3690811.2493044734</v>
      </c>
      <c r="E14" s="5">
        <f t="shared" si="1"/>
        <v>1.4901445108339007E-2</v>
      </c>
      <c r="F14" s="39">
        <f t="shared" si="2"/>
        <v>1.0781372708625381</v>
      </c>
      <c r="G14" s="344">
        <f t="shared" si="4"/>
        <v>229730886.55255783</v>
      </c>
      <c r="H14" s="21">
        <v>88791227</v>
      </c>
      <c r="I14" s="21">
        <f>28821599+99840</f>
        <v>28921439</v>
      </c>
      <c r="J14" s="21">
        <v>59427521.597267792</v>
      </c>
      <c r="K14" s="21">
        <v>2512897.9552900312</v>
      </c>
      <c r="L14" s="21">
        <v>260597</v>
      </c>
      <c r="M14" s="21">
        <v>5962</v>
      </c>
      <c r="N14" s="21">
        <v>49811242</v>
      </c>
    </row>
    <row r="15" spans="1:15" x14ac:dyDescent="0.2">
      <c r="A15">
        <f>'Purchased Power Model '!A157</f>
        <v>2014</v>
      </c>
      <c r="B15" s="6">
        <f>'Purchased Power Model '!B157</f>
        <v>249772655.12820518</v>
      </c>
      <c r="C15" s="6">
        <f>'Purchased Power Model '!M157</f>
        <v>252824165.03788921</v>
      </c>
      <c r="D15" s="27">
        <f t="shared" si="0"/>
        <v>3051509.9096840322</v>
      </c>
      <c r="E15" s="5">
        <f t="shared" si="1"/>
        <v>1.2217149664032399E-2</v>
      </c>
      <c r="F15" s="39">
        <f t="shared" si="2"/>
        <v>1.0815343041391789</v>
      </c>
      <c r="G15" s="344">
        <f t="shared" si="4"/>
        <v>230942887.5</v>
      </c>
      <c r="H15" s="21">
        <v>89130958</v>
      </c>
      <c r="I15" s="21">
        <v>29746584</v>
      </c>
      <c r="J15" s="21">
        <v>57346380</v>
      </c>
      <c r="K15" s="21">
        <v>2302093</v>
      </c>
      <c r="L15" s="21">
        <v>259677</v>
      </c>
      <c r="M15" s="21">
        <v>5962</v>
      </c>
      <c r="N15" s="21">
        <v>52151233.5</v>
      </c>
    </row>
    <row r="16" spans="1:15" x14ac:dyDescent="0.2">
      <c r="A16">
        <f>'Purchased Power Model '!A158</f>
        <v>2015</v>
      </c>
      <c r="B16" s="6">
        <f>'Purchased Power Model '!B158</f>
        <v>247718853.84615383</v>
      </c>
      <c r="C16" s="6">
        <f>'Purchased Power Model '!M158</f>
        <v>247706725.37802175</v>
      </c>
      <c r="D16" s="27">
        <f t="shared" si="0"/>
        <v>-12128.468132078648</v>
      </c>
      <c r="E16" s="5">
        <f t="shared" si="1"/>
        <v>-4.8960617828512362E-5</v>
      </c>
      <c r="F16" s="39">
        <f t="shared" si="2"/>
        <v>1.0654459001108676</v>
      </c>
      <c r="G16" s="344">
        <f t="shared" si="4"/>
        <v>232502517.32197464</v>
      </c>
      <c r="H16" s="21">
        <v>90749018</v>
      </c>
      <c r="I16" s="21">
        <v>28622003</v>
      </c>
      <c r="J16" s="21">
        <v>62304426.670519009</v>
      </c>
      <c r="K16" s="21">
        <v>2368288.5914556528</v>
      </c>
      <c r="L16" s="21">
        <v>259607</v>
      </c>
      <c r="M16" s="21">
        <v>5962</v>
      </c>
      <c r="N16" s="21">
        <v>48193212.060000002</v>
      </c>
    </row>
    <row r="17" spans="1:14" x14ac:dyDescent="0.2">
      <c r="A17">
        <f>'Purchased Power Model '!A159</f>
        <v>2016</v>
      </c>
      <c r="B17" s="6"/>
      <c r="C17" s="6">
        <f>'Purchased Power Model '!M159</f>
        <v>250793261.8765212</v>
      </c>
      <c r="G17" s="342">
        <f>C17/$F$20</f>
        <v>234637983.11408827</v>
      </c>
    </row>
    <row r="18" spans="1:14" x14ac:dyDescent="0.2">
      <c r="A18">
        <f>'Purchased Power Model '!A160</f>
        <v>2017</v>
      </c>
      <c r="B18" s="6"/>
      <c r="C18" s="6">
        <f>'Purchased Power Model '!M160</f>
        <v>249155391.88324183</v>
      </c>
      <c r="D18" s="115"/>
      <c r="E18" s="115"/>
      <c r="F18" s="115"/>
      <c r="G18" s="342">
        <f>C18/$F$20</f>
        <v>233105619.32986757</v>
      </c>
    </row>
    <row r="20" spans="1:14" x14ac:dyDescent="0.2">
      <c r="A20" s="14" t="s">
        <v>14</v>
      </c>
      <c r="F20" s="39">
        <f>AVERAGE(F7:F16)</f>
        <v>1.0688519332975077</v>
      </c>
      <c r="L20" s="113"/>
    </row>
    <row r="21" spans="1:14" x14ac:dyDescent="0.2">
      <c r="E21"/>
      <c r="F21"/>
      <c r="G21" s="343"/>
    </row>
    <row r="23" spans="1:14" x14ac:dyDescent="0.2">
      <c r="A23" s="16" t="s">
        <v>16</v>
      </c>
      <c r="B23" s="12"/>
    </row>
    <row r="25" spans="1:14" x14ac:dyDescent="0.2">
      <c r="A25">
        <f>A7</f>
        <v>2006</v>
      </c>
      <c r="H25" s="21">
        <f>H7/'Rate Class Customer Model'!B4</f>
        <v>9601.3510429327725</v>
      </c>
      <c r="I25" s="21">
        <f>I7/'Rate Class Customer Model'!C4</f>
        <v>25461.471946204168</v>
      </c>
      <c r="J25" s="21">
        <f>J7/'Rate Class Customer Model'!D4</f>
        <v>711134.72911998234</v>
      </c>
      <c r="K25" s="21">
        <f>K7/'Rate Class Customer Model'!E4</f>
        <v>819.69935143013299</v>
      </c>
      <c r="L25" s="21">
        <f>L7/'Rate Class Customer Model'!F4</f>
        <v>7656.1142857142859</v>
      </c>
      <c r="M25" s="21">
        <f>M7/'Rate Class Customer Model'!G4</f>
        <v>1786.3142857142857</v>
      </c>
      <c r="N25" s="21"/>
    </row>
    <row r="26" spans="1:14" x14ac:dyDescent="0.2">
      <c r="A26">
        <f t="shared" ref="A26:A36" si="5">A8</f>
        <v>2007</v>
      </c>
      <c r="H26" s="21">
        <f>H8/'Rate Class Customer Model'!B5</f>
        <v>9802.9996717624217</v>
      </c>
      <c r="I26" s="21">
        <f>I8/'Rate Class Customer Model'!C5</f>
        <v>25205.73531684811</v>
      </c>
      <c r="J26" s="21">
        <f>J8/'Rate Class Customer Model'!D5</f>
        <v>645093.58261869755</v>
      </c>
      <c r="K26" s="21">
        <f>K8/'Rate Class Customer Model'!E5</f>
        <v>875.11094243689854</v>
      </c>
      <c r="L26" s="21">
        <f>L8/'Rate Class Customer Model'!F5</f>
        <v>12409.217391304348</v>
      </c>
      <c r="M26" s="21">
        <f>M8/'Rate Class Customer Model'!G5</f>
        <v>2202.4337349397592</v>
      </c>
      <c r="N26" s="21">
        <f>N8/4</f>
        <v>15649459.689999998</v>
      </c>
    </row>
    <row r="27" spans="1:14" x14ac:dyDescent="0.2">
      <c r="A27">
        <f t="shared" si="5"/>
        <v>2008</v>
      </c>
      <c r="H27" s="21">
        <f>H9/'Rate Class Customer Model'!B6</f>
        <v>9512.6998830695247</v>
      </c>
      <c r="I27" s="21">
        <f>I9/'Rate Class Customer Model'!C6</f>
        <v>24913.690310473401</v>
      </c>
      <c r="J27" s="21">
        <f>J9/'Rate Class Customer Model'!D6</f>
        <v>652997.9386927468</v>
      </c>
      <c r="K27" s="21">
        <f>K9/'Rate Class Customer Model'!E6</f>
        <v>831.1524307692307</v>
      </c>
      <c r="L27" s="21">
        <f>L9/'Rate Class Customer Model'!F6</f>
        <v>8645.5</v>
      </c>
      <c r="M27" s="21">
        <f>M9/'Rate Class Customer Model'!G6</f>
        <v>1530.1475409836066</v>
      </c>
      <c r="N27" s="21">
        <f>N9/'Rate Class Customer Model'!H6</f>
        <v>13716194.180000002</v>
      </c>
    </row>
    <row r="28" spans="1:14" x14ac:dyDescent="0.2">
      <c r="A28">
        <f t="shared" si="5"/>
        <v>2009</v>
      </c>
      <c r="H28" s="21">
        <f>H10/'Rate Class Customer Model'!B7</f>
        <v>9186.4834454083466</v>
      </c>
      <c r="I28" s="21">
        <f>I10/'Rate Class Customer Model'!C7</f>
        <v>24116.562639322336</v>
      </c>
      <c r="J28" s="21">
        <f>J10/'Rate Class Customer Model'!D7</f>
        <v>560286.07999999996</v>
      </c>
      <c r="K28" s="21">
        <f>K10/'Rate Class Customer Model'!E7</f>
        <v>751.35955258885076</v>
      </c>
      <c r="L28" s="21">
        <f>L10/'Rate Class Customer Model'!F7</f>
        <v>8395.7647058823532</v>
      </c>
      <c r="M28" s="21">
        <f>M10/'Rate Class Customer Model'!G7</f>
        <v>1304.0031225604996</v>
      </c>
      <c r="N28" s="21">
        <f>N10/'Rate Class Customer Model'!H7</f>
        <v>12774443.85</v>
      </c>
    </row>
    <row r="29" spans="1:14" x14ac:dyDescent="0.2">
      <c r="A29">
        <f t="shared" si="5"/>
        <v>2010</v>
      </c>
      <c r="H29" s="21">
        <f>H11/'Rate Class Customer Model'!B8</f>
        <v>9549.2942964238682</v>
      </c>
      <c r="I29" s="21">
        <f>I11/'Rate Class Customer Model'!C8</f>
        <v>23869.172738962709</v>
      </c>
      <c r="J29" s="21">
        <f>J11/'Rate Class Customer Model'!D8</f>
        <v>610224.95813953492</v>
      </c>
      <c r="K29" s="21">
        <f>K11/'Rate Class Customer Model'!E8</f>
        <v>866.73296169753644</v>
      </c>
      <c r="L29" s="21">
        <f>L11/'Rate Class Customer Model'!F8</f>
        <v>8224.2686567164183</v>
      </c>
      <c r="M29" s="21">
        <f>M11/'Rate Class Customer Model'!G8</f>
        <v>1077.8587041373926</v>
      </c>
      <c r="N29" s="21">
        <f>N11/'Rate Class Customer Model'!H8</f>
        <v>12023594.074999999</v>
      </c>
    </row>
    <row r="30" spans="1:14" x14ac:dyDescent="0.2">
      <c r="A30">
        <f t="shared" si="5"/>
        <v>2011</v>
      </c>
      <c r="H30" s="21">
        <f>H12/'Rate Class Customer Model'!B9</f>
        <v>9240.862910939939</v>
      </c>
      <c r="I30" s="21">
        <f>I12/'Rate Class Customer Model'!C9</f>
        <v>25657.851758793971</v>
      </c>
      <c r="J30" s="21">
        <f>J12/'Rate Class Customer Model'!D9</f>
        <v>677097.09473684209</v>
      </c>
      <c r="K30" s="21">
        <f>K12/'Rate Class Customer Model'!E9</f>
        <v>804.8876142677899</v>
      </c>
      <c r="L30" s="21">
        <f>L12/'Rate Class Customer Model'!F9</f>
        <v>6206.0307692307688</v>
      </c>
      <c r="M30" s="21">
        <f>M12/'Rate Class Customer Model'!G9</f>
        <v>851.71428571428567</v>
      </c>
      <c r="N30" s="21">
        <f>N12/'Rate Class Customer Model'!H9</f>
        <v>13185103.85</v>
      </c>
    </row>
    <row r="31" spans="1:14" x14ac:dyDescent="0.2">
      <c r="A31">
        <f t="shared" si="5"/>
        <v>2012</v>
      </c>
      <c r="B31" s="115"/>
      <c r="C31" s="115"/>
      <c r="D31" s="115"/>
      <c r="E31" s="115"/>
      <c r="F31" s="115"/>
      <c r="H31" s="21">
        <f>H13/'Rate Class Customer Model'!B10</f>
        <v>9021.3827629278039</v>
      </c>
      <c r="I31" s="21">
        <f>I13/'Rate Class Customer Model'!C10</f>
        <v>24405.664730290457</v>
      </c>
      <c r="J31" s="21">
        <f>J13/'Rate Class Customer Model'!D10</f>
        <v>684656.99088158854</v>
      </c>
      <c r="K31" s="21">
        <f>K13/'Rate Class Customer Model'!E10</f>
        <v>838.44112649890189</v>
      </c>
      <c r="L31" s="21">
        <f>L13/'Rate Class Customer Model'!F10</f>
        <v>8324.730158730159</v>
      </c>
      <c r="M31" s="21">
        <f>M13/'Rate Class Customer Model'!G10</f>
        <v>851.71428571428567</v>
      </c>
      <c r="N31" s="21">
        <f>N13/'Rate Class Customer Model'!H10</f>
        <v>12527922.725000001</v>
      </c>
    </row>
    <row r="32" spans="1:14" x14ac:dyDescent="0.2">
      <c r="A32">
        <f t="shared" si="5"/>
        <v>2013</v>
      </c>
      <c r="B32" s="115"/>
      <c r="C32" s="115"/>
      <c r="D32" s="115"/>
      <c r="E32" s="115"/>
      <c r="F32" s="115"/>
      <c r="H32" s="21">
        <f>H14/'Rate Class Customer Model'!B11</f>
        <v>8806.4693280436404</v>
      </c>
      <c r="I32" s="21">
        <f>I14/'Rate Class Customer Model'!C11</f>
        <v>23951.502277432712</v>
      </c>
      <c r="J32" s="21">
        <f>J14/'Rate Class Customer Model'!D11</f>
        <v>667724.96176705381</v>
      </c>
      <c r="K32" s="21">
        <f>K14/'Rate Class Customer Model'!E11</f>
        <v>895.06605709351061</v>
      </c>
      <c r="L32" s="21">
        <f>L14/'Rate Class Customer Model'!F11</f>
        <v>8406.354838709678</v>
      </c>
      <c r="M32" s="21">
        <f>M14/'Rate Class Customer Model'!G11</f>
        <v>851.71428571428567</v>
      </c>
      <c r="N32" s="21">
        <f>N14/'Rate Class Customer Model'!H11</f>
        <v>12452810.5</v>
      </c>
    </row>
    <row r="33" spans="1:14" x14ac:dyDescent="0.2">
      <c r="A33">
        <f t="shared" si="5"/>
        <v>2014</v>
      </c>
      <c r="B33" s="115"/>
      <c r="C33" s="115"/>
      <c r="D33" s="115"/>
      <c r="E33" s="115"/>
      <c r="F33" s="115"/>
      <c r="H33" s="21">
        <f>H15/'Rate Class Customer Model'!B12</f>
        <v>8778.3481558083422</v>
      </c>
      <c r="I33" s="21">
        <f>I15/'Rate Class Customer Model'!C12</f>
        <v>24492.864553314121</v>
      </c>
      <c r="J33" s="21">
        <f>J15/'Rate Class Customer Model'!D12</f>
        <v>637182</v>
      </c>
      <c r="K33" s="21">
        <f>K15/'Rate Class Customer Model'!E12</f>
        <v>817.35948872714357</v>
      </c>
      <c r="L33" s="21">
        <f>L15/'Rate Class Customer Model'!F12</f>
        <v>8376.677419354839</v>
      </c>
      <c r="M33" s="21">
        <f>M15/'Rate Class Customer Model'!G12</f>
        <v>851.71428571428567</v>
      </c>
      <c r="N33" s="21">
        <f>N15/'Rate Class Customer Model'!H12</f>
        <v>13037808.375</v>
      </c>
    </row>
    <row r="34" spans="1:14" x14ac:dyDescent="0.2">
      <c r="A34">
        <f t="shared" si="5"/>
        <v>2015</v>
      </c>
      <c r="H34" s="21">
        <f>H16/'Rate Class Customer Model'!B13</f>
        <v>8881.7242965500373</v>
      </c>
      <c r="I34" s="21">
        <f>I16/'Rate Class Customer Model'!C13</f>
        <v>23441.4438984439</v>
      </c>
      <c r="J34" s="21">
        <f>J16/'Rate Class Customer Model'!D13</f>
        <v>673561.36941101635</v>
      </c>
      <c r="K34" s="21">
        <f>K16/'Rate Class Customer Model'!E13</f>
        <v>838.18389363144672</v>
      </c>
      <c r="L34" s="21">
        <f>L16/'Rate Class Customer Model'!F13</f>
        <v>8374.4193548387102</v>
      </c>
      <c r="M34" s="21">
        <f>M16/'Rate Class Customer Model'!G13</f>
        <v>851.71428571428567</v>
      </c>
      <c r="N34" s="21">
        <f>N16/'Rate Class Customer Model'!H13</f>
        <v>12048303.015000001</v>
      </c>
    </row>
    <row r="35" spans="1:14" x14ac:dyDescent="0.2">
      <c r="A35">
        <f t="shared" si="5"/>
        <v>2016</v>
      </c>
      <c r="B35" s="115"/>
      <c r="C35" s="115"/>
      <c r="D35" s="115"/>
      <c r="E35" s="115"/>
      <c r="F35" s="115"/>
      <c r="H35" s="21">
        <f t="shared" ref="H35:M35" si="6">H34*H49</f>
        <v>8881.7242965500373</v>
      </c>
      <c r="I35" s="21">
        <f t="shared" si="6"/>
        <v>23441.4438984439</v>
      </c>
      <c r="J35" s="21">
        <f t="shared" si="6"/>
        <v>673561.36941101635</v>
      </c>
      <c r="K35" s="21">
        <f t="shared" si="6"/>
        <v>840.26329201469071</v>
      </c>
      <c r="L35" s="21">
        <f t="shared" si="6"/>
        <v>8458.2802579621148</v>
      </c>
      <c r="M35" s="21">
        <f t="shared" si="6"/>
        <v>851.71428571428567</v>
      </c>
      <c r="N35" s="21">
        <f>N34*N49</f>
        <v>11660822.865512276</v>
      </c>
    </row>
    <row r="36" spans="1:14" x14ac:dyDescent="0.2">
      <c r="A36">
        <f t="shared" si="5"/>
        <v>2017</v>
      </c>
      <c r="B36" s="115"/>
      <c r="C36" s="115"/>
      <c r="D36" s="115"/>
      <c r="E36" s="115"/>
      <c r="F36" s="115"/>
      <c r="H36" s="21">
        <f t="shared" ref="H36:M36" si="7">H35*H49</f>
        <v>8881.7242965500373</v>
      </c>
      <c r="I36" s="21">
        <f t="shared" si="7"/>
        <v>23441.4438984439</v>
      </c>
      <c r="J36" s="21">
        <f t="shared" si="7"/>
        <v>673561.36941101635</v>
      </c>
      <c r="K36" s="21">
        <f t="shared" si="7"/>
        <v>842.34784904828473</v>
      </c>
      <c r="L36" s="21">
        <f t="shared" si="7"/>
        <v>8542.9809388390186</v>
      </c>
      <c r="M36" s="21">
        <f t="shared" si="7"/>
        <v>851.71428571428567</v>
      </c>
      <c r="N36" s="21">
        <f>N35*N49</f>
        <v>11285804.293896565</v>
      </c>
    </row>
    <row r="38" spans="1:14" x14ac:dyDescent="0.2">
      <c r="A38" s="28"/>
      <c r="D38" s="6"/>
      <c r="H38" s="19"/>
      <c r="I38" s="19"/>
      <c r="J38" s="19"/>
      <c r="K38" s="19"/>
      <c r="L38" s="19"/>
      <c r="M38" s="19"/>
      <c r="N38" s="19"/>
    </row>
    <row r="39" spans="1:14" x14ac:dyDescent="0.2">
      <c r="A39" s="28">
        <v>2007</v>
      </c>
      <c r="D39" s="6"/>
      <c r="H39" s="19">
        <f>H26/H25</f>
        <v>1.0210021097997533</v>
      </c>
      <c r="I39" s="19">
        <f t="shared" ref="I39:M39" si="8">I26/I25</f>
        <v>0.98995593695853923</v>
      </c>
      <c r="J39" s="19">
        <f t="shared" si="8"/>
        <v>0.90713272211721452</v>
      </c>
      <c r="K39" s="19">
        <f t="shared" si="8"/>
        <v>1.0675998961205577</v>
      </c>
      <c r="L39" s="19">
        <f t="shared" si="8"/>
        <v>1.6208244715545825</v>
      </c>
      <c r="M39" s="19">
        <f t="shared" si="8"/>
        <v>1.2329486208296665</v>
      </c>
      <c r="N39" s="19"/>
    </row>
    <row r="40" spans="1:14" x14ac:dyDescent="0.2">
      <c r="A40" s="28">
        <v>2008</v>
      </c>
      <c r="D40" s="6"/>
      <c r="H40" s="19">
        <f t="shared" ref="H40:N47" si="9">H27/H26</f>
        <v>0.97038663690573135</v>
      </c>
      <c r="I40" s="19">
        <f t="shared" si="9"/>
        <v>0.98841354942819304</v>
      </c>
      <c r="J40" s="19">
        <f t="shared" si="9"/>
        <v>1.0122530378336152</v>
      </c>
      <c r="K40" s="19">
        <f t="shared" si="9"/>
        <v>0.94976806992578822</v>
      </c>
      <c r="L40" s="19">
        <f t="shared" si="9"/>
        <v>0.69669985845024029</v>
      </c>
      <c r="M40" s="19">
        <f t="shared" si="9"/>
        <v>0.69475304373934277</v>
      </c>
      <c r="N40" s="19">
        <f t="shared" si="9"/>
        <v>0.87646439249047348</v>
      </c>
    </row>
    <row r="41" spans="1:14" x14ac:dyDescent="0.2">
      <c r="A41" s="28">
        <v>2009</v>
      </c>
      <c r="D41" s="6"/>
      <c r="H41" s="19">
        <f t="shared" si="9"/>
        <v>0.96570727115634436</v>
      </c>
      <c r="I41" s="19">
        <f t="shared" si="9"/>
        <v>0.9680044320525264</v>
      </c>
      <c r="J41" s="19">
        <f t="shared" si="9"/>
        <v>0.85802120772639945</v>
      </c>
      <c r="K41" s="19">
        <f t="shared" si="9"/>
        <v>0.90399729913978388</v>
      </c>
      <c r="L41" s="19">
        <f t="shared" si="9"/>
        <v>0.97111384025011316</v>
      </c>
      <c r="M41" s="19">
        <f t="shared" si="9"/>
        <v>0.85220744250731706</v>
      </c>
      <c r="N41" s="19">
        <f t="shared" si="9"/>
        <v>0.93134025972210299</v>
      </c>
    </row>
    <row r="42" spans="1:14" x14ac:dyDescent="0.2">
      <c r="A42" s="28">
        <v>2010</v>
      </c>
      <c r="D42" s="6"/>
      <c r="H42" s="19">
        <f t="shared" si="9"/>
        <v>1.0394939862648818</v>
      </c>
      <c r="I42" s="19">
        <f t="shared" si="9"/>
        <v>0.98974190874298751</v>
      </c>
      <c r="J42" s="19">
        <f t="shared" si="9"/>
        <v>1.0891310348804935</v>
      </c>
      <c r="K42" s="19">
        <f t="shared" si="9"/>
        <v>1.1535528612249093</v>
      </c>
      <c r="L42" s="19">
        <f t="shared" si="9"/>
        <v>0.97957350459740977</v>
      </c>
      <c r="M42" s="19">
        <f t="shared" si="9"/>
        <v>0.82657678151946679</v>
      </c>
      <c r="N42" s="19">
        <f t="shared" si="9"/>
        <v>0.94122250770236071</v>
      </c>
    </row>
    <row r="43" spans="1:14" x14ac:dyDescent="0.2">
      <c r="A43" s="28">
        <v>2011</v>
      </c>
      <c r="D43" s="6"/>
      <c r="H43" s="19">
        <f t="shared" si="9"/>
        <v>0.96770113309844952</v>
      </c>
      <c r="I43" s="19">
        <f t="shared" si="9"/>
        <v>1.0749367830796885</v>
      </c>
      <c r="J43" s="19">
        <f t="shared" si="9"/>
        <v>1.1095860398781265</v>
      </c>
      <c r="K43" s="19">
        <f t="shared" si="9"/>
        <v>0.9286454419494794</v>
      </c>
      <c r="L43" s="19">
        <f t="shared" si="9"/>
        <v>0.75459971315048924</v>
      </c>
      <c r="M43" s="19">
        <f t="shared" si="9"/>
        <v>0.79019103565704407</v>
      </c>
      <c r="N43" s="19">
        <f t="shared" si="9"/>
        <v>1.0966025439444154</v>
      </c>
    </row>
    <row r="44" spans="1:14" x14ac:dyDescent="0.2">
      <c r="A44" s="28">
        <v>2012</v>
      </c>
      <c r="B44" s="115"/>
      <c r="C44" s="115"/>
      <c r="D44" s="6"/>
      <c r="E44" s="115"/>
      <c r="F44" s="115"/>
      <c r="H44" s="19">
        <f t="shared" si="9"/>
        <v>0.9762489553056457</v>
      </c>
      <c r="I44" s="19">
        <f t="shared" si="9"/>
        <v>0.95119673150054973</v>
      </c>
      <c r="J44" s="19">
        <f t="shared" si="9"/>
        <v>1.0111651581486769</v>
      </c>
      <c r="K44" s="19">
        <f t="shared" si="9"/>
        <v>1.041687201587312</v>
      </c>
      <c r="L44" s="19">
        <f t="shared" si="9"/>
        <v>1.3413936327876119</v>
      </c>
      <c r="M44" s="19">
        <f t="shared" si="9"/>
        <v>1</v>
      </c>
      <c r="N44" s="19">
        <f t="shared" si="9"/>
        <v>0.95015730384254815</v>
      </c>
    </row>
    <row r="45" spans="1:14" x14ac:dyDescent="0.2">
      <c r="A45" s="28">
        <v>2013</v>
      </c>
      <c r="B45" s="115"/>
      <c r="C45" s="115"/>
      <c r="D45" s="6"/>
      <c r="E45" s="115"/>
      <c r="F45" s="115"/>
      <c r="H45" s="19">
        <f t="shared" si="9"/>
        <v>0.97617732884948394</v>
      </c>
      <c r="I45" s="19">
        <f t="shared" si="9"/>
        <v>0.98139110498006343</v>
      </c>
      <c r="J45" s="19">
        <f t="shared" si="9"/>
        <v>0.97526932560385826</v>
      </c>
      <c r="K45" s="19">
        <f t="shared" si="9"/>
        <v>1.0675359650248297</v>
      </c>
      <c r="L45" s="19">
        <f t="shared" si="9"/>
        <v>1.009805084179686</v>
      </c>
      <c r="M45" s="19">
        <f t="shared" si="9"/>
        <v>1</v>
      </c>
      <c r="N45" s="19">
        <f t="shared" si="9"/>
        <v>0.99400441504559156</v>
      </c>
    </row>
    <row r="46" spans="1:14" x14ac:dyDescent="0.2">
      <c r="A46" s="28">
        <v>2014</v>
      </c>
      <c r="B46" s="115"/>
      <c r="C46" s="115"/>
      <c r="D46" s="6"/>
      <c r="E46" s="115"/>
      <c r="F46" s="115"/>
      <c r="H46" s="19">
        <f t="shared" si="9"/>
        <v>0.99680675975947042</v>
      </c>
      <c r="I46" s="19">
        <f t="shared" si="9"/>
        <v>1.0226024351045189</v>
      </c>
      <c r="J46" s="19">
        <f t="shared" si="9"/>
        <v>0.95425816988146506</v>
      </c>
      <c r="K46" s="19">
        <f t="shared" si="9"/>
        <v>0.9131834262392895</v>
      </c>
      <c r="L46" s="19">
        <f t="shared" si="9"/>
        <v>0.99646964470043775</v>
      </c>
      <c r="M46" s="19">
        <f t="shared" si="9"/>
        <v>1</v>
      </c>
      <c r="N46" s="19">
        <f t="shared" si="9"/>
        <v>1.0469771763570963</v>
      </c>
    </row>
    <row r="47" spans="1:14" x14ac:dyDescent="0.2">
      <c r="A47" s="28">
        <v>2015</v>
      </c>
      <c r="B47" s="115"/>
      <c r="C47" s="115"/>
      <c r="D47" s="6"/>
      <c r="E47" s="115"/>
      <c r="F47" s="115"/>
      <c r="H47" s="19">
        <f t="shared" si="9"/>
        <v>1.0117762634731335</v>
      </c>
      <c r="I47" s="19">
        <f t="shared" si="9"/>
        <v>0.95707236886965297</v>
      </c>
      <c r="J47" s="19">
        <f t="shared" si="9"/>
        <v>1.057094157416588</v>
      </c>
      <c r="K47" s="19">
        <f t="shared" si="9"/>
        <v>1.0254776572505846</v>
      </c>
      <c r="L47" s="19">
        <f t="shared" si="9"/>
        <v>0.99973043434728526</v>
      </c>
      <c r="M47" s="19">
        <f t="shared" si="9"/>
        <v>1</v>
      </c>
      <c r="N47" s="19">
        <f t="shared" si="9"/>
        <v>0.92410493147779527</v>
      </c>
    </row>
    <row r="48" spans="1:14" x14ac:dyDescent="0.2">
      <c r="A48" s="3"/>
      <c r="D48" s="6"/>
      <c r="E48" s="6"/>
      <c r="F48" s="6"/>
    </row>
    <row r="49" spans="1:16" x14ac:dyDescent="0.2">
      <c r="A49" t="s">
        <v>18</v>
      </c>
      <c r="D49" s="6"/>
      <c r="H49" s="19">
        <v>1</v>
      </c>
      <c r="I49" s="19">
        <v>1</v>
      </c>
      <c r="J49" s="19">
        <v>1</v>
      </c>
      <c r="K49" s="19">
        <f t="shared" ref="K49:L49" si="10">K51</f>
        <v>1.0024808379152157</v>
      </c>
      <c r="L49" s="19">
        <f t="shared" si="10"/>
        <v>1.0100139364378677</v>
      </c>
      <c r="M49" s="19">
        <v>1</v>
      </c>
      <c r="N49" s="19">
        <f>N51</f>
        <v>0.9678394418695051</v>
      </c>
    </row>
    <row r="50" spans="1:16" x14ac:dyDescent="0.2">
      <c r="A50" s="3"/>
      <c r="D50" s="6"/>
      <c r="H50" s="12"/>
      <c r="I50" s="12"/>
      <c r="M50" s="10"/>
      <c r="N50" s="10"/>
    </row>
    <row r="51" spans="1:16" x14ac:dyDescent="0.2">
      <c r="A51" t="s">
        <v>15</v>
      </c>
      <c r="D51" s="6"/>
      <c r="H51" s="19">
        <f>GEOMEAN(H39:H47)</f>
        <v>0.99138090296072168</v>
      </c>
      <c r="I51" s="19">
        <f t="shared" ref="I51:N51" si="11">GEOMEAN(I39:I47)</f>
        <v>0.99085751093210961</v>
      </c>
      <c r="J51" s="19">
        <f t="shared" si="11"/>
        <v>0.99398673112507208</v>
      </c>
      <c r="K51" s="19">
        <f t="shared" si="11"/>
        <v>1.0024808379152157</v>
      </c>
      <c r="L51" s="19">
        <f t="shared" si="11"/>
        <v>1.0100139364378677</v>
      </c>
      <c r="M51" s="19">
        <f t="shared" si="11"/>
        <v>0.92099985590694711</v>
      </c>
      <c r="N51" s="19">
        <f t="shared" si="11"/>
        <v>0.9678394418695051</v>
      </c>
    </row>
    <row r="52" spans="1:16" x14ac:dyDescent="0.2">
      <c r="D52" s="6"/>
      <c r="H52" s="19"/>
      <c r="I52" s="19"/>
      <c r="J52" s="19"/>
      <c r="K52" s="19"/>
      <c r="L52" s="19"/>
      <c r="M52" s="19"/>
    </row>
    <row r="53" spans="1:16" x14ac:dyDescent="0.2">
      <c r="A53" s="14" t="s">
        <v>45</v>
      </c>
    </row>
    <row r="54" spans="1:16" x14ac:dyDescent="0.2">
      <c r="A54">
        <v>2016</v>
      </c>
      <c r="B54">
        <v>2012</v>
      </c>
      <c r="C54">
        <v>2012</v>
      </c>
      <c r="G54" s="345">
        <f>SUM(H54:N54)</f>
        <v>232084534.87999541</v>
      </c>
      <c r="H54" s="27">
        <f>H35*'Rate Class Customer Model'!B14</f>
        <v>91495998.383197963</v>
      </c>
      <c r="I54" s="27">
        <f>I35*'Rate Class Customer Model'!C14</f>
        <v>28998485.744645</v>
      </c>
      <c r="J54" s="27">
        <f>J35*'Rate Class Customer Model'!D14</f>
        <v>62304426.670519009</v>
      </c>
      <c r="K54" s="27">
        <f>K35*'Rate Class Customer Model'!E14</f>
        <v>2374163.9315875084</v>
      </c>
      <c r="L54" s="27">
        <f>L35*'Rate Class Customer Model'!F14</f>
        <v>262206.68799682555</v>
      </c>
      <c r="M54" s="27">
        <f>M35*'Rate Class Customer Model'!G14</f>
        <v>5962</v>
      </c>
      <c r="N54" s="147">
        <f>N35*'Rate Class Customer Model'!H14</f>
        <v>46643291.462049104</v>
      </c>
      <c r="O54" s="6">
        <f>N54-'Purchased Power Model '!C159/1.081</f>
        <v>46643291.462049104</v>
      </c>
    </row>
    <row r="55" spans="1:16" x14ac:dyDescent="0.2">
      <c r="A55">
        <v>2017</v>
      </c>
      <c r="B55"/>
      <c r="C55"/>
      <c r="D55" s="115"/>
      <c r="E55" s="115"/>
      <c r="F55" s="115"/>
      <c r="G55" s="345">
        <f>SUM(H55:N55)</f>
        <v>231727540.06971946</v>
      </c>
      <c r="H55" s="27">
        <f>H36*'Rate Class Customer Model'!B15</f>
        <v>92249127.369490266</v>
      </c>
      <c r="I55" s="27">
        <f>I36*'Rate Class Customer Model'!C15</f>
        <v>29379920.597533971</v>
      </c>
      <c r="J55" s="27">
        <f>J36*'Rate Class Customer Model'!D15</f>
        <v>62304426.670519009</v>
      </c>
      <c r="K55" s="27">
        <f>K36*'Rate Class Customer Model'!E15</f>
        <v>2380053.8474859283</v>
      </c>
      <c r="L55" s="27">
        <f>L36*'Rate Class Customer Model'!F15</f>
        <v>264832.40910400957</v>
      </c>
      <c r="M55" s="27">
        <f>M36*'Rate Class Customer Model'!G15</f>
        <v>5962</v>
      </c>
      <c r="N55" s="147">
        <f>N36*'Rate Class Customer Model'!H15</f>
        <v>45143217.175586261</v>
      </c>
      <c r="O55" s="6">
        <f>N55-'Purchased Power Model '!C160/1.081</f>
        <v>45143217.175586261</v>
      </c>
    </row>
    <row r="56" spans="1:16" x14ac:dyDescent="0.2">
      <c r="G56" s="345"/>
      <c r="H56" s="27"/>
      <c r="I56" s="27"/>
      <c r="J56" s="27"/>
      <c r="K56" s="27"/>
      <c r="L56" s="27"/>
      <c r="M56" s="27"/>
      <c r="N56" s="27"/>
    </row>
    <row r="57" spans="1:16" x14ac:dyDescent="0.2">
      <c r="A57" s="14" t="s">
        <v>44</v>
      </c>
      <c r="G57" s="345"/>
      <c r="H57" s="27"/>
      <c r="I57" s="27"/>
      <c r="J57" s="27"/>
      <c r="K57" s="27"/>
      <c r="L57" s="27"/>
      <c r="M57" s="27"/>
      <c r="O57" s="27" t="s">
        <v>17</v>
      </c>
    </row>
    <row r="58" spans="1:16" x14ac:dyDescent="0.2">
      <c r="A58">
        <v>2016</v>
      </c>
      <c r="B58" s="115"/>
      <c r="C58" s="115"/>
      <c r="D58" s="115"/>
      <c r="E58" s="115"/>
      <c r="F58" s="115"/>
      <c r="G58" s="345">
        <f>G17</f>
        <v>234637983.11408827</v>
      </c>
      <c r="H58" s="27">
        <f t="shared" ref="H58:N59" si="12">H54+H66-H71</f>
        <v>92479879.620842174</v>
      </c>
      <c r="I58" s="27">
        <f t="shared" si="12"/>
        <v>29223413.333587732</v>
      </c>
      <c r="J58" s="27">
        <f t="shared" si="12"/>
        <v>62116820.189978786</v>
      </c>
      <c r="K58" s="27">
        <f t="shared" si="12"/>
        <v>2374163.9315875084</v>
      </c>
      <c r="L58" s="27">
        <f t="shared" si="12"/>
        <v>262206.68799682555</v>
      </c>
      <c r="M58" s="27">
        <f t="shared" si="12"/>
        <v>5962</v>
      </c>
      <c r="N58" s="27">
        <f t="shared" si="12"/>
        <v>46643291.462049104</v>
      </c>
      <c r="O58" s="27">
        <f>SUM(H58:N58)</f>
        <v>233105737.22604215</v>
      </c>
      <c r="P58" s="61">
        <f>G58-O58</f>
        <v>1532245.8880461156</v>
      </c>
    </row>
    <row r="59" spans="1:16" x14ac:dyDescent="0.2">
      <c r="A59">
        <v>2017</v>
      </c>
      <c r="B59" s="115"/>
      <c r="C59" s="115"/>
      <c r="D59" s="115"/>
      <c r="E59" s="115"/>
      <c r="F59" s="115"/>
      <c r="G59" s="345">
        <f>G18</f>
        <v>233105619.32986757</v>
      </c>
      <c r="H59" s="27">
        <f t="shared" si="12"/>
        <v>92079767.015226617</v>
      </c>
      <c r="I59" s="27">
        <f t="shared" si="12"/>
        <v>29137273.513669658</v>
      </c>
      <c r="J59" s="27">
        <f t="shared" si="12"/>
        <v>60741787.912906595</v>
      </c>
      <c r="K59" s="27">
        <f t="shared" si="12"/>
        <v>2380053.8474859283</v>
      </c>
      <c r="L59" s="27">
        <f t="shared" si="12"/>
        <v>264832.40910400957</v>
      </c>
      <c r="M59" s="27">
        <f t="shared" si="12"/>
        <v>5962</v>
      </c>
      <c r="N59" s="27">
        <f t="shared" si="12"/>
        <v>45143217.175586261</v>
      </c>
      <c r="O59" s="27">
        <f>SUM(H59:N59)</f>
        <v>229752893.87397906</v>
      </c>
      <c r="P59" s="61">
        <f>G59-O59</f>
        <v>3352725.4558885098</v>
      </c>
    </row>
    <row r="60" spans="1:16" x14ac:dyDescent="0.2">
      <c r="D60" s="59"/>
      <c r="G60" s="345"/>
      <c r="H60" s="27"/>
      <c r="I60" s="27"/>
      <c r="J60" s="27"/>
      <c r="K60" s="27"/>
      <c r="L60" s="27"/>
      <c r="M60" s="27"/>
      <c r="O60" s="27"/>
    </row>
    <row r="61" spans="1:16" x14ac:dyDescent="0.2">
      <c r="A61" s="38" t="s">
        <v>46</v>
      </c>
      <c r="G61" s="345"/>
      <c r="H61" s="168">
        <f>(100%+J61)/2</f>
        <v>0.78532972110382038</v>
      </c>
      <c r="I61" s="168">
        <f>H61</f>
        <v>0.78532972110382038</v>
      </c>
      <c r="J61" s="168">
        <v>0.57065944220764075</v>
      </c>
      <c r="K61" s="168"/>
      <c r="L61" s="168"/>
      <c r="M61" s="168"/>
      <c r="N61" s="168"/>
      <c r="O61" s="27" t="s">
        <v>17</v>
      </c>
    </row>
    <row r="62" spans="1:16" x14ac:dyDescent="0.2">
      <c r="A62">
        <v>2016</v>
      </c>
      <c r="B62" s="115"/>
      <c r="C62" s="115"/>
      <c r="D62" s="115"/>
      <c r="E62" s="115"/>
      <c r="F62" s="115"/>
      <c r="G62" s="345">
        <f>G58-G54</f>
        <v>2553448.2340928614</v>
      </c>
      <c r="H62" s="27">
        <f t="shared" ref="H62:N62" si="13">H54*H61</f>
        <v>71854526.892392457</v>
      </c>
      <c r="I62" s="27">
        <f t="shared" si="13"/>
        <v>22773372.722275168</v>
      </c>
      <c r="J62" s="27">
        <f t="shared" si="13"/>
        <v>35554609.370865233</v>
      </c>
      <c r="K62" s="27">
        <f t="shared" si="13"/>
        <v>0</v>
      </c>
      <c r="L62" s="27">
        <f t="shared" si="13"/>
        <v>0</v>
      </c>
      <c r="M62" s="27">
        <f t="shared" si="13"/>
        <v>0</v>
      </c>
      <c r="N62" s="27">
        <f t="shared" si="13"/>
        <v>0</v>
      </c>
      <c r="O62" s="27">
        <f>SUM(H62:N62)</f>
        <v>130182508.98553285</v>
      </c>
    </row>
    <row r="63" spans="1:16" x14ac:dyDescent="0.2">
      <c r="A63">
        <v>2017</v>
      </c>
      <c r="B63" s="115"/>
      <c r="C63" s="115"/>
      <c r="D63" s="115"/>
      <c r="E63" s="115"/>
      <c r="F63" s="115"/>
      <c r="G63" s="345">
        <f>G59-G55</f>
        <v>1378079.260148108</v>
      </c>
      <c r="H63" s="27">
        <f>H55*H61</f>
        <v>72445981.4691526</v>
      </c>
      <c r="I63" s="27">
        <f t="shared" ref="I63:N63" si="14">I55*I61</f>
        <v>23072924.84891374</v>
      </c>
      <c r="J63" s="27">
        <f t="shared" si="14"/>
        <v>35554609.370865233</v>
      </c>
      <c r="K63" s="27">
        <f t="shared" si="14"/>
        <v>0</v>
      </c>
      <c r="L63" s="27">
        <f t="shared" si="14"/>
        <v>0</v>
      </c>
      <c r="M63" s="27">
        <f t="shared" si="14"/>
        <v>0</v>
      </c>
      <c r="N63" s="27">
        <f t="shared" si="14"/>
        <v>0</v>
      </c>
      <c r="O63" s="27">
        <f>SUM(H63:N63)</f>
        <v>131073515.68893158</v>
      </c>
    </row>
    <row r="64" spans="1:16" ht="12" customHeight="1" x14ac:dyDescent="0.2">
      <c r="G64" s="345"/>
      <c r="H64" s="27"/>
      <c r="I64" s="27"/>
      <c r="J64" s="27"/>
      <c r="K64" s="27"/>
      <c r="L64" s="27"/>
      <c r="M64" s="27"/>
      <c r="N64" s="27"/>
      <c r="O64" s="27"/>
    </row>
    <row r="65" spans="1:15" x14ac:dyDescent="0.2">
      <c r="A65" t="s">
        <v>47</v>
      </c>
      <c r="G65" s="345"/>
      <c r="H65" s="27"/>
      <c r="I65" s="27"/>
      <c r="J65" s="27"/>
      <c r="K65" s="27"/>
      <c r="L65" s="27"/>
      <c r="M65" s="27"/>
      <c r="N65" s="27"/>
      <c r="O65" s="27"/>
    </row>
    <row r="66" spans="1:15" x14ac:dyDescent="0.2">
      <c r="A66">
        <v>2016</v>
      </c>
      <c r="B66" s="115"/>
      <c r="C66" s="115"/>
      <c r="D66" s="115"/>
      <c r="E66" s="115"/>
      <c r="F66" s="115"/>
      <c r="G66" s="345"/>
      <c r="H66" s="27">
        <f t="shared" ref="H66:N66" si="15">H62/$O$62*$G$62</f>
        <v>1409381.4617242264</v>
      </c>
      <c r="I66" s="27">
        <f t="shared" si="15"/>
        <v>446685.41738194897</v>
      </c>
      <c r="J66" s="27">
        <f t="shared" si="15"/>
        <v>697381.35498668603</v>
      </c>
      <c r="K66" s="27">
        <f t="shared" si="15"/>
        <v>0</v>
      </c>
      <c r="L66" s="27">
        <f t="shared" si="15"/>
        <v>0</v>
      </c>
      <c r="M66" s="27">
        <f t="shared" si="15"/>
        <v>0</v>
      </c>
      <c r="N66" s="27">
        <f t="shared" si="15"/>
        <v>0</v>
      </c>
      <c r="O66" s="27">
        <f>SUM(H66:N66)</f>
        <v>2553448.2340928614</v>
      </c>
    </row>
    <row r="67" spans="1:15" x14ac:dyDescent="0.2">
      <c r="A67">
        <v>2017</v>
      </c>
      <c r="B67" s="115"/>
      <c r="C67" s="115"/>
      <c r="D67" s="115"/>
      <c r="E67" s="115"/>
      <c r="F67" s="115"/>
      <c r="G67" s="345"/>
      <c r="H67" s="27">
        <f>H63/$O$63*$G$63</f>
        <v>761681.747979115</v>
      </c>
      <c r="I67" s="27">
        <f t="shared" ref="I67:N67" si="16">I63/$O$63*$G$63</f>
        <v>242583.85866984847</v>
      </c>
      <c r="J67" s="27">
        <f t="shared" si="16"/>
        <v>373813.65349914448</v>
      </c>
      <c r="K67" s="27">
        <f t="shared" si="16"/>
        <v>0</v>
      </c>
      <c r="L67" s="27">
        <f t="shared" si="16"/>
        <v>0</v>
      </c>
      <c r="M67" s="27">
        <f t="shared" si="16"/>
        <v>0</v>
      </c>
      <c r="N67" s="27">
        <f t="shared" si="16"/>
        <v>0</v>
      </c>
      <c r="O67" s="27">
        <f>SUM(H67:N67)</f>
        <v>1378079.260148108</v>
      </c>
    </row>
    <row r="70" spans="1:15" x14ac:dyDescent="0.2">
      <c r="E70" s="169"/>
      <c r="F70"/>
      <c r="G70" s="344" t="s">
        <v>296</v>
      </c>
      <c r="H70" s="168">
        <f>1983329/7142059</f>
        <v>0.27769708987282238</v>
      </c>
      <c r="I70" s="168">
        <f>1033651/7142059</f>
        <v>0.14472731182982387</v>
      </c>
      <c r="J70" s="168">
        <f>100%-I70-H70</f>
        <v>0.57757559829735372</v>
      </c>
      <c r="K70" s="168"/>
      <c r="L70" s="168"/>
      <c r="M70" s="168"/>
      <c r="N70" s="168"/>
    </row>
    <row r="71" spans="1:15" x14ac:dyDescent="0.2">
      <c r="A71">
        <v>2016</v>
      </c>
      <c r="E71" s="6"/>
      <c r="F71" s="58"/>
      <c r="G71" s="345">
        <f>+'CDM Activity'!T18*0.5+'CDM Activity'!T19*0.5</f>
        <v>1532245.8880461291</v>
      </c>
      <c r="H71" s="6">
        <f t="shared" ref="H71:N71" si="17">H70*$G$71</f>
        <v>425500.22408000845</v>
      </c>
      <c r="I71" s="6">
        <f t="shared" si="17"/>
        <v>221757.82843921753</v>
      </c>
      <c r="J71" s="6">
        <f t="shared" si="17"/>
        <v>884987.83552690316</v>
      </c>
      <c r="K71" s="6">
        <f t="shared" si="17"/>
        <v>0</v>
      </c>
      <c r="L71" s="6">
        <f t="shared" si="17"/>
        <v>0</v>
      </c>
      <c r="M71" s="6">
        <f t="shared" si="17"/>
        <v>0</v>
      </c>
      <c r="N71" s="6">
        <f t="shared" si="17"/>
        <v>0</v>
      </c>
      <c r="O71" s="27">
        <f>SUM(H71:N71)</f>
        <v>1532245.8880461291</v>
      </c>
    </row>
    <row r="72" spans="1:15" x14ac:dyDescent="0.2">
      <c r="A72">
        <v>2017</v>
      </c>
      <c r="E72" s="6"/>
      <c r="G72" s="345">
        <f>+'CDM Activity'!U18*0.5+'CDM Activity'!U19+'CDM Activity'!U20*0.5</f>
        <v>3352725.4558884841</v>
      </c>
      <c r="H72" s="6">
        <f>H70*$G$72</f>
        <v>931042.10224276374</v>
      </c>
      <c r="I72" s="6">
        <f t="shared" ref="I72:N72" si="18">I70*$G$72</f>
        <v>485230.94253416103</v>
      </c>
      <c r="J72" s="6">
        <f t="shared" si="18"/>
        <v>1936452.4111115593</v>
      </c>
      <c r="K72" s="6">
        <f t="shared" si="18"/>
        <v>0</v>
      </c>
      <c r="L72" s="6">
        <f t="shared" si="18"/>
        <v>0</v>
      </c>
      <c r="M72" s="6">
        <f t="shared" si="18"/>
        <v>0</v>
      </c>
      <c r="N72" s="6">
        <f t="shared" si="18"/>
        <v>0</v>
      </c>
      <c r="O72" s="27">
        <f>SUM(H72:N72)</f>
        <v>3352725.4558884841</v>
      </c>
    </row>
    <row r="73" spans="1:15" x14ac:dyDescent="0.2">
      <c r="E73" s="6"/>
    </row>
    <row r="74" spans="1:15" x14ac:dyDescent="0.2">
      <c r="E74" s="63"/>
    </row>
  </sheetData>
  <phoneticPr fontId="0" type="noConversion"/>
  <pageMargins left="0.38" right="0.75" top="0.73" bottom="0.74" header="0.5" footer="0.5"/>
  <pageSetup scale="8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85"/>
  <sheetViews>
    <sheetView workbookViewId="0">
      <pane xSplit="1" ySplit="2" topLeftCell="B30" activePane="bottomRight" state="frozen"/>
      <selection pane="topRight" activeCell="B1" sqref="B1"/>
      <selection pane="bottomLeft" activeCell="A3" sqref="A3"/>
      <selection pane="bottomRight" activeCell="K44" sqref="K44:K46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6" width="14.140625" style="6" customWidth="1"/>
    <col min="7" max="8" width="17.5703125" style="6" customWidth="1"/>
    <col min="9" max="10" width="12.7109375" style="6" bestFit="1" customWidth="1"/>
    <col min="11" max="11" width="11.7109375" style="6" bestFit="1" customWidth="1"/>
    <col min="12" max="12" width="10.7109375" style="6" bestFit="1" customWidth="1"/>
    <col min="13" max="14" width="9.140625" style="6"/>
  </cols>
  <sheetData>
    <row r="2" spans="1:12" ht="42" customHeight="1" x14ac:dyDescent="0.2">
      <c r="B2" s="8" t="str">
        <f>'Rate Class Energy Model'!H2</f>
        <v>Residential</v>
      </c>
      <c r="C2" s="8" t="str">
        <f>'Rate Class Energy Model'!I2</f>
        <v>GS&lt;50</v>
      </c>
      <c r="D2" s="8" t="str">
        <f>'Rate Class Energy Model'!J2</f>
        <v>GS&gt;50</v>
      </c>
      <c r="E2" s="8" t="str">
        <f>'Rate Class Energy Model'!K2</f>
        <v>Streetlights</v>
      </c>
      <c r="F2" s="8" t="str">
        <f>'Rate Class Energy Model'!L2</f>
        <v>Unmetered Scattered Load</v>
      </c>
      <c r="G2" s="8" t="str">
        <f>'Rate Class Energy Model'!M2</f>
        <v>Sentinel Lights</v>
      </c>
      <c r="H2" s="8" t="str">
        <f>'Rate Class Energy Model'!N2</f>
        <v>Embedded Distributor</v>
      </c>
      <c r="I2" s="6" t="s">
        <v>11</v>
      </c>
    </row>
    <row r="3" spans="1:12" x14ac:dyDescent="0.2">
      <c r="A3" s="4">
        <v>2005</v>
      </c>
      <c r="B3" s="161">
        <f t="shared" ref="B3:B13" si="0">(B33+B34)/2</f>
        <v>9413.3235050216535</v>
      </c>
      <c r="C3" s="161">
        <f t="shared" ref="C3:H3" si="1">(C33+C34)/2</f>
        <v>1071.4272551368285</v>
      </c>
      <c r="D3" s="161">
        <f t="shared" si="1"/>
        <v>107.43573205565281</v>
      </c>
      <c r="E3" s="161">
        <f t="shared" si="1"/>
        <v>2735.5</v>
      </c>
      <c r="F3" s="161">
        <f t="shared" si="1"/>
        <v>35.5</v>
      </c>
      <c r="G3" s="161">
        <f t="shared" si="1"/>
        <v>127</v>
      </c>
      <c r="H3" s="161">
        <f t="shared" si="1"/>
        <v>0</v>
      </c>
      <c r="I3" s="21">
        <f t="shared" ref="I3:I15" si="2">SUM(B3:H3)</f>
        <v>13490.186492214136</v>
      </c>
      <c r="L3"/>
    </row>
    <row r="4" spans="1:12" x14ac:dyDescent="0.2">
      <c r="A4" s="4">
        <v>2006</v>
      </c>
      <c r="B4" s="161">
        <f t="shared" si="0"/>
        <v>9496.8001474246739</v>
      </c>
      <c r="C4" s="161">
        <f t="shared" ref="C4:H4" si="3">(C34+C35)/2</f>
        <v>1080.9285911729476</v>
      </c>
      <c r="D4" s="161">
        <f t="shared" si="3"/>
        <v>108.38846401916521</v>
      </c>
      <c r="E4" s="161">
        <f t="shared" si="3"/>
        <v>2744.5</v>
      </c>
      <c r="F4" s="161">
        <f t="shared" si="3"/>
        <v>35</v>
      </c>
      <c r="G4" s="161">
        <f t="shared" si="3"/>
        <v>105</v>
      </c>
      <c r="H4" s="161">
        <f t="shared" si="3"/>
        <v>0</v>
      </c>
      <c r="I4" s="21">
        <f t="shared" si="2"/>
        <v>13570.617202616786</v>
      </c>
      <c r="J4" s="6">
        <f>I4-I3</f>
        <v>80.43071040265022</v>
      </c>
      <c r="K4" s="6">
        <f>J4/12</f>
        <v>6.7025592002208514</v>
      </c>
      <c r="L4"/>
    </row>
    <row r="5" spans="1:12" x14ac:dyDescent="0.2">
      <c r="A5" s="4">
        <v>2007</v>
      </c>
      <c r="B5" s="161">
        <f t="shared" si="0"/>
        <v>9580.7208145213299</v>
      </c>
      <c r="C5" s="161">
        <f t="shared" ref="C5:G5" si="4">(C35+C36)/2</f>
        <v>1090.4804662305355</v>
      </c>
      <c r="D5" s="161">
        <f t="shared" si="4"/>
        <v>109.34626370588776</v>
      </c>
      <c r="E5" s="161">
        <f t="shared" si="4"/>
        <v>2753.5</v>
      </c>
      <c r="F5" s="161">
        <f t="shared" si="4"/>
        <v>34.5</v>
      </c>
      <c r="G5" s="161">
        <f t="shared" si="4"/>
        <v>83</v>
      </c>
      <c r="H5" s="161">
        <v>4</v>
      </c>
      <c r="I5" s="21">
        <f t="shared" si="2"/>
        <v>13655.547544457753</v>
      </c>
      <c r="L5"/>
    </row>
    <row r="6" spans="1:12" x14ac:dyDescent="0.2">
      <c r="A6" s="4">
        <v>2008</v>
      </c>
      <c r="B6" s="161">
        <f t="shared" si="0"/>
        <v>9629.1195061273374</v>
      </c>
      <c r="C6" s="161">
        <f t="shared" ref="C6:H6" si="5">(C36+C37)/2</f>
        <v>1095.9892195706257</v>
      </c>
      <c r="D6" s="161">
        <f t="shared" si="5"/>
        <v>109.89864553579656</v>
      </c>
      <c r="E6" s="161">
        <f t="shared" si="5"/>
        <v>2762.5</v>
      </c>
      <c r="F6" s="161">
        <f t="shared" si="5"/>
        <v>34</v>
      </c>
      <c r="G6" s="161">
        <f t="shared" si="5"/>
        <v>61</v>
      </c>
      <c r="H6" s="161">
        <f t="shared" si="5"/>
        <v>4</v>
      </c>
      <c r="I6" s="21">
        <f t="shared" si="2"/>
        <v>13696.50737123376</v>
      </c>
      <c r="L6"/>
    </row>
    <row r="7" spans="1:12" x14ac:dyDescent="0.2">
      <c r="A7" s="4">
        <v>2009</v>
      </c>
      <c r="B7" s="161">
        <f t="shared" si="0"/>
        <v>9740.5</v>
      </c>
      <c r="C7" s="161">
        <f t="shared" ref="C7:H7" si="6">(C37+C38)/2</f>
        <v>1121.5</v>
      </c>
      <c r="D7" s="161">
        <f t="shared" si="6"/>
        <v>112.5</v>
      </c>
      <c r="E7" s="161">
        <f t="shared" si="6"/>
        <v>2771.5</v>
      </c>
      <c r="F7" s="161">
        <f t="shared" si="6"/>
        <v>34</v>
      </c>
      <c r="G7" s="161">
        <f t="shared" si="6"/>
        <v>39</v>
      </c>
      <c r="H7" s="161">
        <f t="shared" si="6"/>
        <v>4</v>
      </c>
      <c r="I7" s="21">
        <f t="shared" si="2"/>
        <v>13823</v>
      </c>
      <c r="L7"/>
    </row>
    <row r="8" spans="1:12" x14ac:dyDescent="0.2">
      <c r="A8" s="4">
        <v>2010</v>
      </c>
      <c r="B8" s="161">
        <f t="shared" si="0"/>
        <v>9871</v>
      </c>
      <c r="C8" s="161">
        <f t="shared" ref="C8:H8" si="7">(C38+C39)/2</f>
        <v>1166.5</v>
      </c>
      <c r="D8" s="161">
        <f t="shared" si="7"/>
        <v>107.5</v>
      </c>
      <c r="E8" s="161">
        <f t="shared" si="7"/>
        <v>2780.5</v>
      </c>
      <c r="F8" s="161">
        <f t="shared" si="7"/>
        <v>33.5</v>
      </c>
      <c r="G8" s="161">
        <f t="shared" si="7"/>
        <v>17.5</v>
      </c>
      <c r="H8" s="161">
        <f t="shared" si="7"/>
        <v>4</v>
      </c>
      <c r="I8" s="21">
        <f t="shared" si="2"/>
        <v>13980.5</v>
      </c>
    </row>
    <row r="9" spans="1:12" x14ac:dyDescent="0.2">
      <c r="A9" s="4">
        <v>2011</v>
      </c>
      <c r="B9" s="161">
        <f t="shared" si="0"/>
        <v>9931.5</v>
      </c>
      <c r="C9" s="161">
        <f t="shared" ref="C9:H9" si="8">(C39+C40)/2</f>
        <v>1194</v>
      </c>
      <c r="D9" s="161">
        <f t="shared" si="8"/>
        <v>95</v>
      </c>
      <c r="E9" s="161">
        <f t="shared" si="8"/>
        <v>2789.5</v>
      </c>
      <c r="F9" s="161">
        <f t="shared" si="8"/>
        <v>32.5</v>
      </c>
      <c r="G9" s="161">
        <f t="shared" si="8"/>
        <v>7</v>
      </c>
      <c r="H9" s="161">
        <f t="shared" si="8"/>
        <v>4</v>
      </c>
      <c r="I9" s="21">
        <f t="shared" si="2"/>
        <v>14053.5</v>
      </c>
    </row>
    <row r="10" spans="1:12" x14ac:dyDescent="0.2">
      <c r="A10" s="4">
        <v>2012</v>
      </c>
      <c r="B10" s="161">
        <f t="shared" si="0"/>
        <v>10007.5</v>
      </c>
      <c r="C10" s="161">
        <f t="shared" ref="C10:H13" si="9">(C40+C41)/2</f>
        <v>1205</v>
      </c>
      <c r="D10" s="161">
        <f t="shared" si="9"/>
        <v>89</v>
      </c>
      <c r="E10" s="161">
        <f t="shared" si="9"/>
        <v>2798.5</v>
      </c>
      <c r="F10" s="161">
        <f t="shared" si="9"/>
        <v>31.5</v>
      </c>
      <c r="G10" s="161">
        <f t="shared" si="9"/>
        <v>7</v>
      </c>
      <c r="H10" s="161">
        <f t="shared" si="9"/>
        <v>4</v>
      </c>
      <c r="I10" s="21">
        <f t="shared" si="2"/>
        <v>14142.5</v>
      </c>
    </row>
    <row r="11" spans="1:12" x14ac:dyDescent="0.2">
      <c r="A11" s="4">
        <v>2013</v>
      </c>
      <c r="B11" s="161">
        <f t="shared" si="0"/>
        <v>10082.5</v>
      </c>
      <c r="C11" s="161">
        <f t="shared" si="9"/>
        <v>1207.5</v>
      </c>
      <c r="D11" s="161">
        <f t="shared" ref="D11:E11" si="10">(D41+D42)/2</f>
        <v>89</v>
      </c>
      <c r="E11" s="161">
        <f t="shared" si="10"/>
        <v>2807.5</v>
      </c>
      <c r="F11" s="161">
        <f t="shared" ref="F11:H11" si="11">(F41+F42)/2</f>
        <v>31</v>
      </c>
      <c r="G11" s="161">
        <f t="shared" si="11"/>
        <v>7</v>
      </c>
      <c r="H11" s="161">
        <f t="shared" si="11"/>
        <v>4</v>
      </c>
      <c r="I11" s="21">
        <f t="shared" si="2"/>
        <v>14228.5</v>
      </c>
    </row>
    <row r="12" spans="1:12" x14ac:dyDescent="0.2">
      <c r="A12" s="4">
        <v>2014</v>
      </c>
      <c r="B12" s="161">
        <f t="shared" si="0"/>
        <v>10153.5</v>
      </c>
      <c r="C12" s="161">
        <f t="shared" si="9"/>
        <v>1214.5</v>
      </c>
      <c r="D12" s="161">
        <f t="shared" ref="D12:E12" si="12">(D42+D43)/2</f>
        <v>90</v>
      </c>
      <c r="E12" s="161">
        <f t="shared" si="12"/>
        <v>2816.5</v>
      </c>
      <c r="F12" s="161">
        <f t="shared" ref="F12:H12" si="13">(F42+F43)/2</f>
        <v>31</v>
      </c>
      <c r="G12" s="161">
        <f t="shared" si="13"/>
        <v>7</v>
      </c>
      <c r="H12" s="161">
        <f t="shared" si="13"/>
        <v>4</v>
      </c>
      <c r="I12" s="21">
        <f t="shared" si="2"/>
        <v>14316.5</v>
      </c>
    </row>
    <row r="13" spans="1:12" x14ac:dyDescent="0.2">
      <c r="A13" s="4">
        <v>2015</v>
      </c>
      <c r="B13" s="161">
        <f t="shared" si="0"/>
        <v>10217.5</v>
      </c>
      <c r="C13" s="161">
        <f t="shared" si="9"/>
        <v>1221</v>
      </c>
      <c r="D13" s="161">
        <f t="shared" ref="D13:E13" si="14">(D43+D44)/2</f>
        <v>92.5</v>
      </c>
      <c r="E13" s="161">
        <f t="shared" si="14"/>
        <v>2825.5</v>
      </c>
      <c r="F13" s="21">
        <f t="shared" ref="F13:H13" si="15">F12*F29</f>
        <v>31</v>
      </c>
      <c r="G13" s="21">
        <f t="shared" si="15"/>
        <v>7</v>
      </c>
      <c r="H13" s="21">
        <f t="shared" si="15"/>
        <v>4</v>
      </c>
      <c r="I13" s="21">
        <f t="shared" si="2"/>
        <v>14398.5</v>
      </c>
    </row>
    <row r="14" spans="1:12" x14ac:dyDescent="0.2">
      <c r="A14" s="4">
        <v>2016</v>
      </c>
      <c r="B14" s="21">
        <f>B13*B$29</f>
        <v>10301.603081592852</v>
      </c>
      <c r="C14" s="21">
        <f t="shared" ref="C14:H14" si="16">C13*C$29</f>
        <v>1237.0605612126985</v>
      </c>
      <c r="D14" s="21">
        <f t="shared" si="16"/>
        <v>92.5</v>
      </c>
      <c r="E14" s="21">
        <f t="shared" si="16"/>
        <v>2825.5</v>
      </c>
      <c r="F14" s="21">
        <f t="shared" si="16"/>
        <v>31</v>
      </c>
      <c r="G14" s="21">
        <f t="shared" si="16"/>
        <v>7</v>
      </c>
      <c r="H14" s="21">
        <f t="shared" si="16"/>
        <v>4</v>
      </c>
      <c r="I14" s="21">
        <f t="shared" si="2"/>
        <v>14498.66364280555</v>
      </c>
    </row>
    <row r="15" spans="1:12" x14ac:dyDescent="0.2">
      <c r="A15" s="4">
        <v>2017</v>
      </c>
      <c r="B15" s="21">
        <f>B14*B$29</f>
        <v>10386.398439019657</v>
      </c>
      <c r="C15" s="21">
        <f t="shared" ref="C15" si="17">C14*C$29</f>
        <v>1253.3323768287278</v>
      </c>
      <c r="D15" s="21">
        <f t="shared" ref="D15" si="18">D14*D$29</f>
        <v>92.5</v>
      </c>
      <c r="E15" s="21">
        <f t="shared" ref="E15" si="19">E14*E$29</f>
        <v>2825.5</v>
      </c>
      <c r="F15" s="21">
        <f t="shared" ref="F15" si="20">F14*F$29</f>
        <v>31</v>
      </c>
      <c r="G15" s="21">
        <f t="shared" ref="G15" si="21">G14*G$29</f>
        <v>7</v>
      </c>
      <c r="H15" s="21">
        <f t="shared" ref="H15" si="22">H14*H$29</f>
        <v>4</v>
      </c>
      <c r="I15" s="21">
        <f t="shared" si="2"/>
        <v>14599.730815848385</v>
      </c>
    </row>
    <row r="16" spans="1:12" x14ac:dyDescent="0.2">
      <c r="A16" s="15"/>
    </row>
    <row r="17" spans="1:8" x14ac:dyDescent="0.2">
      <c r="A17" s="14" t="s">
        <v>42</v>
      </c>
      <c r="B17" s="5"/>
      <c r="C17" s="5"/>
      <c r="D17" s="5"/>
      <c r="E17" s="65"/>
      <c r="F17" s="65"/>
      <c r="G17" s="66"/>
      <c r="H17" s="5"/>
    </row>
    <row r="18" spans="1:8" x14ac:dyDescent="0.2">
      <c r="A18" s="4">
        <v>2006</v>
      </c>
      <c r="B18" s="18">
        <f t="shared" ref="B18:B27" si="23">B4/B3</f>
        <v>1.0088679245283017</v>
      </c>
      <c r="C18" s="18">
        <f t="shared" ref="C18:G18" si="24">C4/C3</f>
        <v>1.0088679245283019</v>
      </c>
      <c r="D18" s="18">
        <f t="shared" si="24"/>
        <v>1.0088679245283021</v>
      </c>
      <c r="E18" s="18">
        <f t="shared" si="24"/>
        <v>1.003290074940596</v>
      </c>
      <c r="F18" s="18">
        <f t="shared" si="24"/>
        <v>0.9859154929577465</v>
      </c>
      <c r="G18" s="18">
        <f t="shared" si="24"/>
        <v>0.82677165354330706</v>
      </c>
      <c r="H18" s="18"/>
    </row>
    <row r="19" spans="1:8" x14ac:dyDescent="0.2">
      <c r="A19" s="4">
        <v>2007</v>
      </c>
      <c r="B19" s="18">
        <f t="shared" si="23"/>
        <v>1.0088367308771273</v>
      </c>
      <c r="C19" s="18">
        <f t="shared" ref="C19:G26" si="25">C5/C4</f>
        <v>1.0088367308771276</v>
      </c>
      <c r="D19" s="18">
        <f t="shared" si="25"/>
        <v>1.0088367308771273</v>
      </c>
      <c r="E19" s="18">
        <f t="shared" si="25"/>
        <v>1.0032792858444162</v>
      </c>
      <c r="F19" s="18">
        <f t="shared" si="25"/>
        <v>0.98571428571428577</v>
      </c>
      <c r="G19" s="18">
        <f t="shared" si="25"/>
        <v>0.79047619047619044</v>
      </c>
      <c r="H19" s="18"/>
    </row>
    <row r="20" spans="1:8" x14ac:dyDescent="0.2">
      <c r="A20" s="4">
        <v>2008</v>
      </c>
      <c r="B20" s="18">
        <f t="shared" si="23"/>
        <v>1.0050516753950967</v>
      </c>
      <c r="C20" s="18">
        <f t="shared" si="25"/>
        <v>1.0050516753950964</v>
      </c>
      <c r="D20" s="18">
        <f t="shared" si="25"/>
        <v>1.0050516753950969</v>
      </c>
      <c r="E20" s="18">
        <f t="shared" si="25"/>
        <v>1.0032685672780097</v>
      </c>
      <c r="F20" s="18">
        <f t="shared" si="25"/>
        <v>0.98550724637681164</v>
      </c>
      <c r="G20" s="18">
        <f t="shared" si="25"/>
        <v>0.73493975903614461</v>
      </c>
      <c r="H20" s="18">
        <f t="shared" ref="H20:H27" si="26">H6/H5</f>
        <v>1</v>
      </c>
    </row>
    <row r="21" spans="1:8" x14ac:dyDescent="0.2">
      <c r="A21" s="4">
        <v>2009</v>
      </c>
      <c r="B21" s="18">
        <f t="shared" si="23"/>
        <v>1.0115670486592037</v>
      </c>
      <c r="C21" s="18">
        <f t="shared" si="25"/>
        <v>1.0232764884670751</v>
      </c>
      <c r="D21" s="18">
        <f t="shared" si="25"/>
        <v>1.0236704870339473</v>
      </c>
      <c r="E21" s="18">
        <f t="shared" si="25"/>
        <v>1.0032579185520363</v>
      </c>
      <c r="F21" s="18">
        <f t="shared" si="25"/>
        <v>1</v>
      </c>
      <c r="G21" s="18">
        <f t="shared" si="25"/>
        <v>0.63934426229508201</v>
      </c>
      <c r="H21" s="18">
        <f t="shared" si="26"/>
        <v>1</v>
      </c>
    </row>
    <row r="22" spans="1:8" x14ac:dyDescent="0.2">
      <c r="A22" s="4">
        <v>2010</v>
      </c>
      <c r="B22" s="18">
        <f t="shared" si="23"/>
        <v>1.0133976695241518</v>
      </c>
      <c r="C22" s="18">
        <f t="shared" si="25"/>
        <v>1.0401248328131967</v>
      </c>
      <c r="D22" s="18">
        <f t="shared" si="25"/>
        <v>0.9555555555555556</v>
      </c>
      <c r="E22" s="18">
        <f t="shared" si="25"/>
        <v>1.0032473389861085</v>
      </c>
      <c r="F22" s="18">
        <f t="shared" si="25"/>
        <v>0.98529411764705888</v>
      </c>
      <c r="G22" s="18">
        <f t="shared" si="25"/>
        <v>0.44871794871794873</v>
      </c>
      <c r="H22" s="18">
        <f t="shared" si="26"/>
        <v>1</v>
      </c>
    </row>
    <row r="23" spans="1:8" x14ac:dyDescent="0.2">
      <c r="A23" s="4">
        <v>2011</v>
      </c>
      <c r="B23" s="18">
        <f t="shared" si="23"/>
        <v>1.0061290649376964</v>
      </c>
      <c r="C23" s="18">
        <f t="shared" si="25"/>
        <v>1.0235747963994857</v>
      </c>
      <c r="D23" s="18">
        <f t="shared" si="25"/>
        <v>0.88372093023255816</v>
      </c>
      <c r="E23" s="18">
        <f t="shared" si="25"/>
        <v>1.0032368279086494</v>
      </c>
      <c r="F23" s="18">
        <f t="shared" si="25"/>
        <v>0.97014925373134331</v>
      </c>
      <c r="G23" s="18">
        <f t="shared" si="25"/>
        <v>0.4</v>
      </c>
      <c r="H23" s="18">
        <f t="shared" si="26"/>
        <v>1</v>
      </c>
    </row>
    <row r="24" spans="1:8" x14ac:dyDescent="0.2">
      <c r="A24" s="4">
        <v>2012</v>
      </c>
      <c r="B24" s="18">
        <f t="shared" si="23"/>
        <v>1.0076524190706337</v>
      </c>
      <c r="C24" s="18">
        <f t="shared" si="25"/>
        <v>1.0092127303182579</v>
      </c>
      <c r="D24" s="18">
        <f t="shared" si="25"/>
        <v>0.93684210526315792</v>
      </c>
      <c r="E24" s="18">
        <f t="shared" si="25"/>
        <v>1.0032263846567486</v>
      </c>
      <c r="F24" s="18">
        <f t="shared" si="25"/>
        <v>0.96923076923076923</v>
      </c>
      <c r="G24" s="18">
        <f t="shared" si="25"/>
        <v>1</v>
      </c>
      <c r="H24" s="18">
        <f t="shared" si="26"/>
        <v>1</v>
      </c>
    </row>
    <row r="25" spans="1:8" x14ac:dyDescent="0.2">
      <c r="A25" s="4">
        <v>2013</v>
      </c>
      <c r="B25" s="18">
        <f t="shared" si="23"/>
        <v>1.0074943792155884</v>
      </c>
      <c r="C25" s="18">
        <f t="shared" si="25"/>
        <v>1.0020746887966805</v>
      </c>
      <c r="D25" s="18">
        <f t="shared" si="25"/>
        <v>1</v>
      </c>
      <c r="E25" s="18">
        <f t="shared" si="25"/>
        <v>1.0032160085760229</v>
      </c>
      <c r="F25" s="18">
        <f t="shared" si="25"/>
        <v>0.98412698412698407</v>
      </c>
      <c r="G25" s="18">
        <f t="shared" si="25"/>
        <v>1</v>
      </c>
      <c r="H25" s="18">
        <f t="shared" si="26"/>
        <v>1</v>
      </c>
    </row>
    <row r="26" spans="1:8" x14ac:dyDescent="0.2">
      <c r="A26" s="4">
        <v>2014</v>
      </c>
      <c r="B26" s="18">
        <f t="shared" si="23"/>
        <v>1.0070419042896106</v>
      </c>
      <c r="C26" s="18">
        <f t="shared" si="25"/>
        <v>1.0057971014492753</v>
      </c>
      <c r="D26" s="18">
        <f t="shared" si="25"/>
        <v>1.0112359550561798</v>
      </c>
      <c r="E26" s="18">
        <f t="shared" si="25"/>
        <v>1.003205699020481</v>
      </c>
      <c r="F26" s="18">
        <f t="shared" si="25"/>
        <v>1</v>
      </c>
      <c r="G26" s="18">
        <f t="shared" si="25"/>
        <v>1</v>
      </c>
      <c r="H26" s="18">
        <f t="shared" si="26"/>
        <v>1</v>
      </c>
    </row>
    <row r="27" spans="1:8" x14ac:dyDescent="0.2">
      <c r="A27" s="4">
        <v>2015</v>
      </c>
      <c r="B27" s="18">
        <f t="shared" si="23"/>
        <v>1.0063032451863889</v>
      </c>
      <c r="C27" s="18">
        <f t="shared" ref="C27:G27" si="27">C13/C12</f>
        <v>1.0053519967064635</v>
      </c>
      <c r="D27" s="18">
        <f t="shared" si="27"/>
        <v>1.0277777777777777</v>
      </c>
      <c r="E27" s="18">
        <f t="shared" si="27"/>
        <v>1.0031954553523876</v>
      </c>
      <c r="F27" s="18">
        <f t="shared" si="27"/>
        <v>1</v>
      </c>
      <c r="G27" s="18">
        <f t="shared" si="27"/>
        <v>1</v>
      </c>
      <c r="H27" s="18">
        <f t="shared" si="26"/>
        <v>1</v>
      </c>
    </row>
    <row r="29" spans="1:8" x14ac:dyDescent="0.2">
      <c r="A29" t="s">
        <v>60</v>
      </c>
      <c r="B29" s="19">
        <f>B31</f>
        <v>1.0082312778657061</v>
      </c>
      <c r="C29" s="19">
        <f>C31</f>
        <v>1.0131536127868128</v>
      </c>
      <c r="D29" s="19">
        <v>1</v>
      </c>
      <c r="E29" s="19">
        <v>1</v>
      </c>
      <c r="F29" s="19">
        <v>1</v>
      </c>
      <c r="G29" s="19">
        <v>1</v>
      </c>
      <c r="H29" s="19">
        <v>1</v>
      </c>
    </row>
    <row r="30" spans="1:8" x14ac:dyDescent="0.2">
      <c r="B30" s="19"/>
      <c r="C30" s="19"/>
      <c r="D30" s="19"/>
      <c r="E30" s="19"/>
      <c r="F30" s="19"/>
      <c r="G30" s="19"/>
      <c r="H30" s="19"/>
    </row>
    <row r="31" spans="1:8" x14ac:dyDescent="0.2">
      <c r="A31" t="s">
        <v>15</v>
      </c>
      <c r="B31" s="19">
        <f>GEOMEAN(B18:B27)</f>
        <v>1.0082312778657061</v>
      </c>
      <c r="C31" s="19">
        <f t="shared" ref="C31:H31" si="28">GEOMEAN(C18:C27)</f>
        <v>1.0131536127868128</v>
      </c>
      <c r="D31" s="19">
        <f t="shared" si="28"/>
        <v>0.98514305161116322</v>
      </c>
      <c r="E31" s="19">
        <f t="shared" si="28"/>
        <v>1.0032423556571093</v>
      </c>
      <c r="F31" s="19">
        <f t="shared" si="28"/>
        <v>0.98653690005163308</v>
      </c>
      <c r="G31" s="19">
        <f t="shared" si="28"/>
        <v>0.74839250918354749</v>
      </c>
      <c r="H31" s="19">
        <f t="shared" si="28"/>
        <v>1</v>
      </c>
    </row>
    <row r="32" spans="1:8" x14ac:dyDescent="0.2">
      <c r="A32" s="4"/>
      <c r="B32" s="19"/>
      <c r="C32" s="19"/>
      <c r="D32" s="19"/>
      <c r="E32" s="19"/>
      <c r="F32" s="19"/>
      <c r="G32" s="19"/>
      <c r="H32" s="19"/>
    </row>
    <row r="33" spans="1:12" x14ac:dyDescent="0.2">
      <c r="A33" s="4">
        <v>2004</v>
      </c>
      <c r="B33" s="161">
        <v>9374.2493319819405</v>
      </c>
      <c r="C33" s="161">
        <v>1066.9798212475812</v>
      </c>
      <c r="D33" s="161">
        <v>106.98977241315764</v>
      </c>
      <c r="E33" s="160">
        <v>2731</v>
      </c>
      <c r="F33" s="21">
        <v>36</v>
      </c>
      <c r="G33" s="161">
        <v>138</v>
      </c>
      <c r="H33" s="161"/>
      <c r="I33" s="21"/>
      <c r="J33" s="6">
        <f>B33+C33+D33+H33</f>
        <v>10548.218925642679</v>
      </c>
      <c r="L33"/>
    </row>
    <row r="34" spans="1:12" x14ac:dyDescent="0.2">
      <c r="A34" s="4">
        <v>2005</v>
      </c>
      <c r="B34" s="161">
        <v>9452.3976780613648</v>
      </c>
      <c r="C34" s="161">
        <v>1075.8746890260757</v>
      </c>
      <c r="D34" s="161">
        <v>107.88169169814797</v>
      </c>
      <c r="E34" s="160">
        <v>2740</v>
      </c>
      <c r="F34" s="161">
        <v>35</v>
      </c>
      <c r="G34" s="161">
        <v>116</v>
      </c>
      <c r="H34" s="161"/>
      <c r="I34" s="21"/>
      <c r="J34" s="6">
        <f>B34+C34+D34+H34-82</f>
        <v>10554.154058785589</v>
      </c>
      <c r="L34"/>
    </row>
    <row r="35" spans="1:12" x14ac:dyDescent="0.2">
      <c r="A35" s="4">
        <v>2006</v>
      </c>
      <c r="B35" s="161">
        <v>9541.2026167879849</v>
      </c>
      <c r="C35" s="161">
        <v>1085.9824933198195</v>
      </c>
      <c r="D35" s="161">
        <v>108.89523634018244</v>
      </c>
      <c r="E35" s="160">
        <v>2749</v>
      </c>
      <c r="F35" s="161">
        <v>35</v>
      </c>
      <c r="G35" s="161">
        <v>94</v>
      </c>
      <c r="H35" s="161"/>
      <c r="I35" s="21"/>
      <c r="J35" s="6">
        <f t="shared" ref="J35:J36" si="29">B35+C35+D35+H35-82</f>
        <v>10654.080346447987</v>
      </c>
      <c r="L35"/>
    </row>
    <row r="36" spans="1:12" x14ac:dyDescent="0.2">
      <c r="A36" s="4">
        <v>2007</v>
      </c>
      <c r="B36" s="161">
        <v>9620.2390122546749</v>
      </c>
      <c r="C36" s="161">
        <v>1094.9784391412513</v>
      </c>
      <c r="D36" s="161">
        <v>109.79729107159311</v>
      </c>
      <c r="E36" s="160">
        <v>2758</v>
      </c>
      <c r="F36" s="161">
        <v>34</v>
      </c>
      <c r="G36" s="161">
        <v>72</v>
      </c>
      <c r="H36" s="161">
        <v>4</v>
      </c>
      <c r="I36" s="21"/>
      <c r="J36" s="6">
        <f t="shared" si="29"/>
        <v>10747.014742467518</v>
      </c>
      <c r="L36"/>
    </row>
    <row r="37" spans="1:12" x14ac:dyDescent="0.2">
      <c r="A37" s="4">
        <v>2008</v>
      </c>
      <c r="B37" s="161">
        <v>9638</v>
      </c>
      <c r="C37" s="161">
        <v>1097</v>
      </c>
      <c r="D37" s="161">
        <v>110</v>
      </c>
      <c r="E37" s="160">
        <v>2767</v>
      </c>
      <c r="F37" s="161">
        <v>34</v>
      </c>
      <c r="G37" s="161">
        <v>50</v>
      </c>
      <c r="H37" s="161">
        <v>4</v>
      </c>
      <c r="I37" s="21"/>
      <c r="J37" s="6">
        <f t="shared" ref="J37:J43" si="30">B37+C37+D37+H37+145</f>
        <v>10994</v>
      </c>
      <c r="L37"/>
    </row>
    <row r="38" spans="1:12" x14ac:dyDescent="0.2">
      <c r="A38" s="4">
        <v>2009</v>
      </c>
      <c r="B38" s="21">
        <v>9843</v>
      </c>
      <c r="C38" s="21">
        <v>1146</v>
      </c>
      <c r="D38" s="161">
        <v>115</v>
      </c>
      <c r="E38" s="160">
        <v>2776</v>
      </c>
      <c r="F38" s="161">
        <v>34</v>
      </c>
      <c r="G38" s="161">
        <v>28</v>
      </c>
      <c r="H38" s="161">
        <v>4</v>
      </c>
      <c r="I38" s="21"/>
      <c r="J38" s="6">
        <f t="shared" si="30"/>
        <v>11253</v>
      </c>
      <c r="L38"/>
    </row>
    <row r="39" spans="1:12" x14ac:dyDescent="0.2">
      <c r="A39" s="4">
        <v>2010</v>
      </c>
      <c r="B39" s="161">
        <v>9899</v>
      </c>
      <c r="C39" s="161">
        <v>1187</v>
      </c>
      <c r="D39" s="161">
        <v>100</v>
      </c>
      <c r="E39" s="160">
        <v>2785</v>
      </c>
      <c r="F39" s="161">
        <v>33</v>
      </c>
      <c r="G39" s="161">
        <v>7</v>
      </c>
      <c r="H39" s="161">
        <v>4</v>
      </c>
      <c r="I39" s="21"/>
      <c r="J39" s="6">
        <f t="shared" si="30"/>
        <v>11335</v>
      </c>
    </row>
    <row r="40" spans="1:12" x14ac:dyDescent="0.2">
      <c r="A40" s="4">
        <v>2011</v>
      </c>
      <c r="B40" s="161">
        <v>9964</v>
      </c>
      <c r="C40" s="161">
        <v>1201</v>
      </c>
      <c r="D40" s="161">
        <v>90</v>
      </c>
      <c r="E40" s="160">
        <v>2794</v>
      </c>
      <c r="F40" s="161">
        <v>32</v>
      </c>
      <c r="G40" s="161">
        <v>7</v>
      </c>
      <c r="H40" s="161">
        <v>4</v>
      </c>
      <c r="J40" s="6">
        <f t="shared" si="30"/>
        <v>11404</v>
      </c>
    </row>
    <row r="41" spans="1:12" x14ac:dyDescent="0.2">
      <c r="A41" s="4">
        <v>2012</v>
      </c>
      <c r="B41" s="161">
        <v>10051</v>
      </c>
      <c r="C41" s="161">
        <v>1209</v>
      </c>
      <c r="D41" s="161">
        <v>88</v>
      </c>
      <c r="E41" s="160">
        <v>2803</v>
      </c>
      <c r="F41" s="161">
        <v>31</v>
      </c>
      <c r="G41" s="161">
        <v>7</v>
      </c>
      <c r="H41" s="161">
        <v>4</v>
      </c>
      <c r="J41" s="6">
        <f t="shared" si="30"/>
        <v>11497</v>
      </c>
    </row>
    <row r="42" spans="1:12" x14ac:dyDescent="0.2">
      <c r="A42" s="4">
        <v>2013</v>
      </c>
      <c r="B42" s="161">
        <v>10114</v>
      </c>
      <c r="C42" s="161">
        <v>1206</v>
      </c>
      <c r="D42" s="161">
        <v>90</v>
      </c>
      <c r="E42" s="160">
        <v>2812</v>
      </c>
      <c r="F42" s="161">
        <v>31</v>
      </c>
      <c r="G42" s="161">
        <v>7</v>
      </c>
      <c r="H42" s="161">
        <v>4</v>
      </c>
      <c r="J42" s="6">
        <f t="shared" si="30"/>
        <v>11559</v>
      </c>
    </row>
    <row r="43" spans="1:12" x14ac:dyDescent="0.2">
      <c r="A43" s="4">
        <v>2014</v>
      </c>
      <c r="B43" s="161">
        <v>10193</v>
      </c>
      <c r="C43" s="161">
        <v>1223</v>
      </c>
      <c r="D43" s="161">
        <v>90</v>
      </c>
      <c r="E43" s="160">
        <v>2821</v>
      </c>
      <c r="F43" s="161">
        <v>31</v>
      </c>
      <c r="G43" s="161">
        <v>7</v>
      </c>
      <c r="H43" s="161">
        <v>4</v>
      </c>
      <c r="J43" s="6">
        <f t="shared" si="30"/>
        <v>11655</v>
      </c>
    </row>
    <row r="44" spans="1:12" x14ac:dyDescent="0.2">
      <c r="A44" s="4">
        <v>2015</v>
      </c>
      <c r="B44" s="161">
        <v>10242</v>
      </c>
      <c r="C44" s="161">
        <v>1219</v>
      </c>
      <c r="D44" s="161">
        <v>95</v>
      </c>
      <c r="E44" s="160">
        <v>2830</v>
      </c>
      <c r="F44" s="161">
        <v>31</v>
      </c>
      <c r="G44" s="161">
        <v>7</v>
      </c>
      <c r="H44" s="161">
        <v>4</v>
      </c>
      <c r="J44" s="6">
        <f>B44+C44+D44+H44+145</f>
        <v>11705</v>
      </c>
      <c r="K44" s="19"/>
    </row>
    <row r="45" spans="1:12" x14ac:dyDescent="0.2">
      <c r="A45" s="4">
        <v>2016</v>
      </c>
      <c r="B45" s="161">
        <f>B14*2-B44</f>
        <v>10361.206163185703</v>
      </c>
      <c r="C45" s="161">
        <f t="shared" ref="C45:H45" si="31">C14*2-C44</f>
        <v>1255.1211224253971</v>
      </c>
      <c r="D45" s="161">
        <f t="shared" si="31"/>
        <v>90</v>
      </c>
      <c r="E45" s="161">
        <f t="shared" si="31"/>
        <v>2821</v>
      </c>
      <c r="F45" s="161">
        <f t="shared" si="31"/>
        <v>31</v>
      </c>
      <c r="G45" s="161">
        <f t="shared" si="31"/>
        <v>7</v>
      </c>
      <c r="H45" s="161">
        <f t="shared" si="31"/>
        <v>4</v>
      </c>
      <c r="J45" s="6">
        <f t="shared" ref="J45:J46" si="32">B45+C45+D45+H45+145</f>
        <v>11855.3272856111</v>
      </c>
      <c r="K45" s="19"/>
    </row>
    <row r="46" spans="1:12" x14ac:dyDescent="0.2">
      <c r="A46" s="4">
        <v>2017</v>
      </c>
      <c r="B46" s="161">
        <f>B15*2-B45</f>
        <v>10411.59071485361</v>
      </c>
      <c r="C46" s="161">
        <f t="shared" ref="C46:H46" si="33">C15*2-C45</f>
        <v>1251.5436312320585</v>
      </c>
      <c r="D46" s="161">
        <v>95</v>
      </c>
      <c r="E46" s="161">
        <f t="shared" si="33"/>
        <v>2830</v>
      </c>
      <c r="F46" s="161">
        <f t="shared" si="33"/>
        <v>31</v>
      </c>
      <c r="G46" s="161">
        <f t="shared" si="33"/>
        <v>7</v>
      </c>
      <c r="H46" s="161">
        <f t="shared" si="33"/>
        <v>4</v>
      </c>
      <c r="J46" s="6">
        <f t="shared" si="32"/>
        <v>11907.134346085668</v>
      </c>
      <c r="K46" s="19"/>
    </row>
    <row r="47" spans="1:12" x14ac:dyDescent="0.2">
      <c r="B47" s="19"/>
      <c r="C47" s="19"/>
      <c r="D47" s="19"/>
      <c r="E47" s="19"/>
      <c r="F47" s="19"/>
      <c r="G47" s="19"/>
      <c r="H47" s="19"/>
    </row>
    <row r="48" spans="1:12" x14ac:dyDescent="0.2">
      <c r="B48" s="19"/>
      <c r="C48" s="19"/>
      <c r="D48" s="19"/>
      <c r="E48" s="19"/>
      <c r="F48" s="19"/>
      <c r="G48" s="19"/>
      <c r="H48" s="19"/>
    </row>
    <row r="49" spans="2:8" x14ac:dyDescent="0.2">
      <c r="B49" s="19"/>
      <c r="C49" s="19"/>
      <c r="D49" s="19"/>
      <c r="E49" s="19"/>
      <c r="F49" s="19"/>
      <c r="G49" s="19"/>
      <c r="H49" s="19"/>
    </row>
    <row r="50" spans="2:8" x14ac:dyDescent="0.2">
      <c r="B50" s="19"/>
      <c r="C50" s="19"/>
      <c r="D50" s="19"/>
      <c r="E50" s="19"/>
      <c r="F50" s="19"/>
      <c r="G50" s="19"/>
      <c r="H50" s="19"/>
    </row>
    <row r="51" spans="2:8" x14ac:dyDescent="0.2">
      <c r="B51" s="19"/>
      <c r="C51" s="19"/>
      <c r="D51" s="19"/>
      <c r="E51" s="19"/>
      <c r="F51" s="19"/>
      <c r="G51" s="19"/>
      <c r="H51" s="19"/>
    </row>
    <row r="52" spans="2:8" x14ac:dyDescent="0.2">
      <c r="B52" s="19"/>
      <c r="C52" s="19"/>
      <c r="D52" s="19"/>
      <c r="E52" s="19"/>
      <c r="F52" s="19"/>
      <c r="G52" s="19"/>
      <c r="H52" s="19"/>
    </row>
    <row r="53" spans="2:8" x14ac:dyDescent="0.2">
      <c r="B53" s="19"/>
      <c r="C53" s="19"/>
      <c r="D53" s="19"/>
      <c r="E53" s="19"/>
      <c r="F53" s="19"/>
      <c r="G53" s="19"/>
      <c r="H53" s="19"/>
    </row>
    <row r="54" spans="2:8" x14ac:dyDescent="0.2">
      <c r="B54" s="19"/>
      <c r="C54" s="19"/>
      <c r="D54" s="19"/>
      <c r="E54" s="19"/>
      <c r="F54" s="19"/>
      <c r="G54" s="19"/>
      <c r="H54" s="19"/>
    </row>
    <row r="55" spans="2:8" x14ac:dyDescent="0.2">
      <c r="B55" s="19"/>
      <c r="C55" s="19"/>
      <c r="D55" s="19"/>
      <c r="E55" s="19"/>
      <c r="F55" s="19"/>
      <c r="G55" s="19"/>
      <c r="H55" s="19"/>
    </row>
    <row r="56" spans="2:8" x14ac:dyDescent="0.2">
      <c r="B56" s="19"/>
      <c r="C56" s="19"/>
      <c r="D56" s="19"/>
      <c r="E56" s="19"/>
      <c r="F56" s="19"/>
      <c r="G56" s="19"/>
      <c r="H56" s="19"/>
    </row>
    <row r="57" spans="2:8" x14ac:dyDescent="0.2">
      <c r="B57" s="19"/>
      <c r="C57" s="19"/>
      <c r="G57" s="19"/>
      <c r="H57" s="19"/>
    </row>
    <row r="63" spans="2:8" x14ac:dyDescent="0.2">
      <c r="D63" s="20"/>
      <c r="E63" s="20"/>
      <c r="F63" s="20"/>
    </row>
    <row r="64" spans="2:8" x14ac:dyDescent="0.2">
      <c r="B64" s="20"/>
      <c r="C64" s="20"/>
      <c r="D64" s="20"/>
      <c r="E64" s="20"/>
      <c r="F64" s="20"/>
      <c r="G64" s="20"/>
      <c r="H64" s="20"/>
    </row>
    <row r="65" spans="2:8" x14ac:dyDescent="0.2">
      <c r="B65" s="20"/>
      <c r="C65" s="20"/>
      <c r="G65" s="20"/>
      <c r="H65" s="20"/>
    </row>
    <row r="83" spans="2:8" x14ac:dyDescent="0.2">
      <c r="D83" s="13"/>
      <c r="E83" s="13"/>
      <c r="F83" s="13"/>
    </row>
    <row r="84" spans="2:8" x14ac:dyDescent="0.2">
      <c r="B84" s="13"/>
      <c r="C84" s="13"/>
      <c r="D84" s="13"/>
      <c r="E84" s="13"/>
      <c r="F84" s="13"/>
      <c r="G84" s="13"/>
      <c r="H84" s="13"/>
    </row>
    <row r="85" spans="2:8" x14ac:dyDescent="0.2">
      <c r="B85" s="13"/>
      <c r="C85" s="13"/>
      <c r="G85" s="13"/>
      <c r="H85" s="13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H17" sqref="H17:J26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4.140625" style="6" customWidth="1"/>
    <col min="4" max="5" width="17.7109375" style="6" customWidth="1"/>
    <col min="6" max="7" width="12.7109375" style="6" bestFit="1" customWidth="1"/>
    <col min="8" max="8" width="11.7109375" style="6" bestFit="1" customWidth="1"/>
    <col min="9" max="9" width="10.7109375" style="6" bestFit="1" customWidth="1"/>
    <col min="10" max="11" width="9.140625" style="6"/>
    <col min="13" max="13" width="15.42578125" bestFit="1" customWidth="1"/>
  </cols>
  <sheetData>
    <row r="1" spans="1:19" ht="42" customHeight="1" x14ac:dyDescent="0.2">
      <c r="B1" s="7" t="str">
        <f>'Rate Class Customer Model'!D2</f>
        <v>GS&gt;50</v>
      </c>
      <c r="C1" s="7" t="str">
        <f>'Rate Class Customer Model'!E2</f>
        <v>Streetlights</v>
      </c>
      <c r="D1" s="7" t="str">
        <f>'Rate Class Customer Model'!G2</f>
        <v>Sentinel Lights</v>
      </c>
      <c r="E1" s="7" t="str">
        <f>'Rate Class Customer Model'!H2</f>
        <v>Embedded Distributor</v>
      </c>
      <c r="F1" s="6" t="s">
        <v>11</v>
      </c>
    </row>
    <row r="2" spans="1:19" x14ac:dyDescent="0.2">
      <c r="A2" s="24">
        <v>2006</v>
      </c>
      <c r="B2" s="162">
        <v>241320.97999999998</v>
      </c>
      <c r="C2" s="163">
        <v>5909.57</v>
      </c>
      <c r="D2" s="162">
        <v>496</v>
      </c>
      <c r="E2" s="162">
        <v>0</v>
      </c>
      <c r="F2" s="6">
        <f t="shared" ref="F2:F13" si="0">SUM(B2:E2)</f>
        <v>247726.55</v>
      </c>
    </row>
    <row r="3" spans="1:19" x14ac:dyDescent="0.2">
      <c r="A3" s="24">
        <v>2007</v>
      </c>
      <c r="B3" s="162">
        <v>218224.88999999998</v>
      </c>
      <c r="C3" s="163">
        <v>6520.95</v>
      </c>
      <c r="D3" s="162">
        <v>498</v>
      </c>
      <c r="E3" s="162">
        <v>115967.3</v>
      </c>
      <c r="F3" s="6">
        <f t="shared" si="0"/>
        <v>341211.14</v>
      </c>
    </row>
    <row r="4" spans="1:19" x14ac:dyDescent="0.2">
      <c r="A4" s="24">
        <v>2008</v>
      </c>
      <c r="B4" s="162">
        <v>209582.87</v>
      </c>
      <c r="C4" s="163">
        <v>6487.4</v>
      </c>
      <c r="D4" s="162">
        <v>265</v>
      </c>
      <c r="E4" s="162">
        <v>112770.77999999998</v>
      </c>
      <c r="F4" s="6">
        <f t="shared" si="0"/>
        <v>329106.05</v>
      </c>
    </row>
    <row r="5" spans="1:19" x14ac:dyDescent="0.2">
      <c r="A5" s="24">
        <v>2009</v>
      </c>
      <c r="B5" s="162">
        <v>207445.1</v>
      </c>
      <c r="C5" s="163">
        <v>5753.6</v>
      </c>
      <c r="D5" s="162">
        <v>143</v>
      </c>
      <c r="E5" s="162">
        <v>109952.4</v>
      </c>
      <c r="F5" s="6">
        <f t="shared" si="0"/>
        <v>323294.09999999998</v>
      </c>
    </row>
    <row r="6" spans="1:19" x14ac:dyDescent="0.2">
      <c r="A6" s="24">
        <v>2010</v>
      </c>
      <c r="B6" s="162">
        <v>200282.5</v>
      </c>
      <c r="C6" s="163">
        <v>6759.3</v>
      </c>
      <c r="D6" s="162">
        <v>52</v>
      </c>
      <c r="E6" s="162">
        <v>107516.56</v>
      </c>
      <c r="F6" s="6">
        <f t="shared" si="0"/>
        <v>314610.36</v>
      </c>
    </row>
    <row r="7" spans="1:19" x14ac:dyDescent="0.2">
      <c r="A7" s="24">
        <v>2011</v>
      </c>
      <c r="B7" s="162">
        <v>195460.9</v>
      </c>
      <c r="C7" s="163">
        <v>5760</v>
      </c>
      <c r="D7" s="162">
        <v>14</v>
      </c>
      <c r="E7" s="162">
        <v>113910.59999999999</v>
      </c>
      <c r="F7" s="6">
        <f t="shared" si="0"/>
        <v>315145.5</v>
      </c>
      <c r="L7" s="6"/>
      <c r="Q7">
        <v>115370.49999999999</v>
      </c>
      <c r="S7">
        <v>48193212.060000002</v>
      </c>
    </row>
    <row r="8" spans="1:19" x14ac:dyDescent="0.2">
      <c r="A8" s="24">
        <v>2012</v>
      </c>
      <c r="B8" s="162">
        <v>186873.8</v>
      </c>
      <c r="C8" s="163">
        <v>6353.7</v>
      </c>
      <c r="D8" s="162">
        <v>14</v>
      </c>
      <c r="E8" s="162">
        <v>111193.80000000002</v>
      </c>
      <c r="F8" s="6">
        <f t="shared" si="0"/>
        <v>304435.30000000005</v>
      </c>
      <c r="L8" s="6"/>
    </row>
    <row r="9" spans="1:19" x14ac:dyDescent="0.2">
      <c r="A9" s="24">
        <v>2013</v>
      </c>
      <c r="B9" s="162">
        <v>181892.6</v>
      </c>
      <c r="C9" s="163">
        <v>6799.3</v>
      </c>
      <c r="D9" s="162">
        <v>14</v>
      </c>
      <c r="E9" s="162">
        <v>110634.70000000001</v>
      </c>
      <c r="F9" s="6">
        <f t="shared" si="0"/>
        <v>299340.59999999998</v>
      </c>
      <c r="L9" s="6"/>
    </row>
    <row r="10" spans="1:19" x14ac:dyDescent="0.2">
      <c r="A10" s="24">
        <v>2014</v>
      </c>
      <c r="B10" s="162">
        <v>186325.9</v>
      </c>
      <c r="C10" s="163">
        <v>6450</v>
      </c>
      <c r="D10" s="162">
        <v>14</v>
      </c>
      <c r="E10" s="162">
        <v>115370.49999999999</v>
      </c>
      <c r="F10" s="6">
        <f t="shared" si="0"/>
        <v>308160.39999999997</v>
      </c>
      <c r="L10" s="6"/>
    </row>
    <row r="11" spans="1:19" x14ac:dyDescent="0.2">
      <c r="A11" s="24">
        <v>2015</v>
      </c>
      <c r="B11" s="162">
        <v>195328</v>
      </c>
      <c r="C11" s="162">
        <v>6398</v>
      </c>
      <c r="D11" s="162">
        <v>14</v>
      </c>
      <c r="E11" s="162">
        <v>105467.49</v>
      </c>
      <c r="F11" s="6">
        <f t="shared" si="0"/>
        <v>307207.49</v>
      </c>
    </row>
    <row r="12" spans="1:19" x14ac:dyDescent="0.2">
      <c r="A12" s="24">
        <v>2016</v>
      </c>
      <c r="B12" s="162">
        <f>'Rate Class Energy Model'!J58*'Rate Class Load Model'!B28</f>
        <v>192808.33579213487</v>
      </c>
      <c r="C12" s="162">
        <f>'Rate Class Energy Model'!K58*'Rate Class Load Model'!C28</f>
        <v>6459.7804117359783</v>
      </c>
      <c r="D12" s="162">
        <f>'Rate Class Energy Model'!M58*'Rate Class Load Model'!D28</f>
        <v>14</v>
      </c>
      <c r="E12" s="162">
        <f>'Rate Class Energy Model'!N58*'Rate Class Load Model'!E28</f>
        <v>100002.37884363059</v>
      </c>
      <c r="F12" s="6">
        <f t="shared" si="0"/>
        <v>299284.49504750146</v>
      </c>
      <c r="H12"/>
    </row>
    <row r="13" spans="1:19" x14ac:dyDescent="0.2">
      <c r="A13" s="24">
        <v>2017</v>
      </c>
      <c r="B13" s="162">
        <f>'Rate Class Energy Model'!J59*'Rate Class Load Model'!B28</f>
        <v>188540.28594360882</v>
      </c>
      <c r="C13" s="162">
        <f>'Rate Class Energy Model'!K59*'Rate Class Load Model'!C28</f>
        <v>6475.806079905381</v>
      </c>
      <c r="D13" s="162">
        <f>'Rate Class Energy Model'!M59*'Rate Class Load Model'!D28</f>
        <v>14</v>
      </c>
      <c r="E13" s="162">
        <f>'Rate Class Energy Model'!N59*'Rate Class Load Model'!E28</f>
        <v>96786.246525642244</v>
      </c>
      <c r="F13" s="6">
        <f t="shared" si="0"/>
        <v>291816.33854915644</v>
      </c>
    </row>
    <row r="14" spans="1:19" x14ac:dyDescent="0.2">
      <c r="A14" s="15"/>
    </row>
    <row r="15" spans="1:19" x14ac:dyDescent="0.2">
      <c r="A15" s="14" t="s">
        <v>61</v>
      </c>
      <c r="B15" s="5"/>
      <c r="C15" s="5"/>
      <c r="D15" s="5"/>
      <c r="E15" s="5"/>
    </row>
    <row r="16" spans="1:19" x14ac:dyDescent="0.2">
      <c r="A16" s="4"/>
      <c r="B16" s="22"/>
      <c r="C16" s="22"/>
      <c r="D16" s="22"/>
      <c r="E16" s="5"/>
      <c r="L16" s="64"/>
    </row>
    <row r="17" spans="1:13" x14ac:dyDescent="0.2">
      <c r="A17" s="4">
        <v>2006</v>
      </c>
      <c r="B17" s="22">
        <f>B2/'Rate Class Energy Model'!J7</f>
        <v>3.1308346376586731E-3</v>
      </c>
      <c r="C17" s="22">
        <f>C2/'Rate Class Energy Model'!K7</f>
        <v>2.6268668186119649E-3</v>
      </c>
      <c r="D17" s="22">
        <f>D2/'Rate Class Energy Model'!M7</f>
        <v>2.6444447998805734E-3</v>
      </c>
      <c r="E17" s="22"/>
      <c r="H17" s="22"/>
      <c r="I17" s="22"/>
      <c r="J17" s="22"/>
      <c r="K17" s="22"/>
      <c r="L17" s="64"/>
      <c r="M17" s="162"/>
    </row>
    <row r="18" spans="1:13" x14ac:dyDescent="0.2">
      <c r="A18" s="4">
        <v>2007</v>
      </c>
      <c r="B18" s="22">
        <f>B3/'Rate Class Energy Model'!J8</f>
        <v>3.0936958421316518E-3</v>
      </c>
      <c r="C18" s="22">
        <f>C3/'Rate Class Energy Model'!K8</f>
        <v>2.706217356495655E-3</v>
      </c>
      <c r="D18" s="22">
        <f>D3/'Rate Class Energy Model'!M8</f>
        <v>2.7242590343650509E-3</v>
      </c>
      <c r="E18" s="22">
        <f>E3/'Rate Class Energy Model'!N8</f>
        <v>1.852576739024784E-3</v>
      </c>
      <c r="H18" s="22"/>
      <c r="I18" s="22"/>
      <c r="J18" s="22"/>
      <c r="K18" s="22"/>
      <c r="L18" s="64"/>
    </row>
    <row r="19" spans="1:13" x14ac:dyDescent="0.2">
      <c r="A19" s="4">
        <v>2008</v>
      </c>
      <c r="B19" s="22">
        <f>B4/'Rate Class Energy Model'!J9</f>
        <v>2.9204624924765118E-3</v>
      </c>
      <c r="C19" s="22">
        <f>C4/'Rate Class Energy Model'!K9</f>
        <v>2.825450547409594E-3</v>
      </c>
      <c r="D19" s="22">
        <f>D4/'Rate Class Energy Model'!M9</f>
        <v>2.8391133395472418E-3</v>
      </c>
      <c r="E19" s="22">
        <f>E4/'Rate Class Energy Model'!N9</f>
        <v>2.055431312069686E-3</v>
      </c>
      <c r="H19" s="22"/>
      <c r="I19" s="22"/>
      <c r="J19" s="22"/>
      <c r="K19" s="22"/>
      <c r="L19" s="64"/>
    </row>
    <row r="20" spans="1:13" x14ac:dyDescent="0.2">
      <c r="A20" s="4">
        <v>2009</v>
      </c>
      <c r="B20" s="22">
        <f>B5/'Rate Class Energy Model'!J10</f>
        <v>3.2910980841152513E-3</v>
      </c>
      <c r="C20" s="22">
        <f>C5/'Rate Class Energy Model'!K10</f>
        <v>2.7629750964395291E-3</v>
      </c>
      <c r="D20" s="22">
        <f>D5/'Rate Class Energy Model'!M10</f>
        <v>2.8118542074246841E-3</v>
      </c>
      <c r="E20" s="22">
        <f>E5/'Rate Class Energy Model'!N10</f>
        <v>2.1518040489880113E-3</v>
      </c>
      <c r="H20" s="22"/>
      <c r="I20" s="22"/>
      <c r="J20" s="22"/>
      <c r="K20" s="22"/>
      <c r="L20" s="64"/>
    </row>
    <row r="21" spans="1:13" x14ac:dyDescent="0.2">
      <c r="A21" s="4">
        <v>2010</v>
      </c>
      <c r="B21" s="22">
        <f>B6/'Rate Class Energy Model'!J11</f>
        <v>3.0531249146807209E-3</v>
      </c>
      <c r="C21" s="22">
        <f>C6/'Rate Class Energy Model'!K11</f>
        <v>2.8047458226329084E-3</v>
      </c>
      <c r="D21" s="22">
        <f>D6/'Rate Class Energy Model'!M11</f>
        <v>2.7567885846471849E-3</v>
      </c>
      <c r="E21" s="22">
        <f>E6/'Rate Class Energy Model'!N11</f>
        <v>2.2355328891124431E-3</v>
      </c>
      <c r="H21" s="22"/>
      <c r="I21" s="22"/>
      <c r="J21" s="22"/>
      <c r="K21" s="22"/>
      <c r="L21" s="64"/>
    </row>
    <row r="22" spans="1:13" x14ac:dyDescent="0.2">
      <c r="A22" s="4">
        <v>2011</v>
      </c>
      <c r="B22" s="22">
        <f>B7/'Rate Class Energy Model'!J12</f>
        <v>3.0386825964663017E-3</v>
      </c>
      <c r="C22" s="22">
        <f>C7/'Rate Class Energy Model'!K12</f>
        <v>2.5654341596466116E-3</v>
      </c>
      <c r="D22" s="22">
        <f>D7/'Rate Class Energy Model'!M12</f>
        <v>2.3482053002348204E-3</v>
      </c>
      <c r="E22" s="22">
        <f>E7/'Rate Class Energy Model'!N12</f>
        <v>2.1598350929939772E-3</v>
      </c>
      <c r="H22" s="22"/>
      <c r="I22" s="22"/>
      <c r="J22" s="22"/>
      <c r="K22" s="22"/>
      <c r="L22" s="64"/>
    </row>
    <row r="23" spans="1:13" x14ac:dyDescent="0.2">
      <c r="A23" s="4">
        <v>2012</v>
      </c>
      <c r="B23" s="22">
        <f>B8/'Rate Class Energy Model'!J13</f>
        <v>3.0667993549205901E-3</v>
      </c>
      <c r="C23" s="22">
        <f>C8/'Rate Class Energy Model'!K13</f>
        <v>2.7078762988008696E-3</v>
      </c>
      <c r="D23" s="22">
        <f>D8/'Rate Class Energy Model'!M13</f>
        <v>2.3482053002348204E-3</v>
      </c>
      <c r="E23" s="22">
        <f>E8/'Rate Class Energy Model'!N13</f>
        <v>2.2189193380421335E-3</v>
      </c>
      <c r="H23" s="22"/>
      <c r="I23" s="22"/>
      <c r="J23" s="22"/>
      <c r="L23" s="64"/>
    </row>
    <row r="24" spans="1:13" x14ac:dyDescent="0.2">
      <c r="A24" s="4">
        <v>2013</v>
      </c>
      <c r="B24" s="22">
        <f>B9/'Rate Class Energy Model'!J14</f>
        <v>3.06074685787271E-3</v>
      </c>
      <c r="C24" s="22">
        <f>C9/'Rate Class Energy Model'!K14</f>
        <v>2.70576048887558E-3</v>
      </c>
      <c r="D24" s="22">
        <f>D9/'Rate Class Energy Model'!M14</f>
        <v>2.3482053002348204E-3</v>
      </c>
      <c r="E24" s="22">
        <f>E9/'Rate Class Energy Model'!N14</f>
        <v>2.2210789283270633E-3</v>
      </c>
      <c r="H24" s="22"/>
      <c r="I24" s="22"/>
      <c r="J24" s="22"/>
      <c r="L24" s="64"/>
    </row>
    <row r="25" spans="1:13" x14ac:dyDescent="0.2">
      <c r="A25" s="4">
        <v>2014</v>
      </c>
      <c r="B25" s="22">
        <f>B10/'Rate Class Energy Model'!J15</f>
        <v>3.2491309826356953E-3</v>
      </c>
      <c r="C25" s="22">
        <f>C10/'Rate Class Energy Model'!K15</f>
        <v>2.8017981897342985E-3</v>
      </c>
      <c r="D25" s="22">
        <f>D10/'Rate Class Energy Model'!M15</f>
        <v>2.3482053002348204E-3</v>
      </c>
      <c r="E25" s="22">
        <f>E10/'Rate Class Energy Model'!N15</f>
        <v>2.2122295534965628E-3</v>
      </c>
      <c r="H25" s="22"/>
      <c r="I25" s="22"/>
      <c r="J25" s="22"/>
      <c r="L25" s="64"/>
    </row>
    <row r="26" spans="1:13" x14ac:dyDescent="0.2">
      <c r="A26" s="4">
        <v>2015</v>
      </c>
      <c r="B26" s="22">
        <f>B11/'Rate Class Energy Model'!J16</f>
        <v>3.1350581401373302E-3</v>
      </c>
      <c r="C26" s="22">
        <f>C11/'Rate Class Energy Model'!K16</f>
        <v>2.7015288690249999E-3</v>
      </c>
      <c r="D26" s="22">
        <f>D11/'Rate Class Energy Model'!M16</f>
        <v>2.3482053002348204E-3</v>
      </c>
      <c r="E26" s="22">
        <f>E11/'Rate Class Energy Model'!N16</f>
        <v>2.1884303928257401E-3</v>
      </c>
      <c r="H26" s="22"/>
      <c r="I26" s="22"/>
      <c r="J26" s="22"/>
      <c r="L26" s="64"/>
    </row>
    <row r="27" spans="1:13" x14ac:dyDescent="0.2">
      <c r="L27" s="64"/>
    </row>
    <row r="28" spans="1:13" x14ac:dyDescent="0.2">
      <c r="A28" t="s">
        <v>14</v>
      </c>
      <c r="B28" s="22">
        <f>AVERAGE(B17:B26)</f>
        <v>3.1039633903095437E-3</v>
      </c>
      <c r="C28" s="22">
        <f t="shared" ref="C28" si="1">AVERAGE(C17:C26)</f>
        <v>2.7208653647672011E-3</v>
      </c>
      <c r="D28" s="22">
        <f>D26</f>
        <v>2.3482053002348204E-3</v>
      </c>
      <c r="E28" s="22">
        <f>AVERAGE(E17:E26)</f>
        <v>2.1439820327644895E-3</v>
      </c>
    </row>
    <row r="35" spans="2:5" x14ac:dyDescent="0.2">
      <c r="B35" s="20"/>
      <c r="C35" s="20"/>
      <c r="D35" s="20"/>
      <c r="E35" s="20"/>
    </row>
    <row r="36" spans="2:5" x14ac:dyDescent="0.2">
      <c r="B36" s="20"/>
      <c r="C36" s="20"/>
      <c r="D36" s="20"/>
      <c r="E36" s="20"/>
    </row>
    <row r="55" spans="2:5" x14ac:dyDescent="0.2">
      <c r="B55" s="13"/>
      <c r="C55" s="13"/>
      <c r="D55" s="13"/>
      <c r="E55" s="13"/>
    </row>
    <row r="56" spans="2:5" x14ac:dyDescent="0.2">
      <c r="B56" s="13"/>
      <c r="C56" s="13"/>
      <c r="D56" s="13"/>
      <c r="E56" s="13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58"/>
  <sheetViews>
    <sheetView zoomScaleNormal="100" workbookViewId="0">
      <selection activeCell="T36" sqref="A24:T36"/>
    </sheetView>
  </sheetViews>
  <sheetFormatPr defaultRowHeight="12.75" x14ac:dyDescent="0.2"/>
  <cols>
    <col min="1" max="1" width="9.140625" style="116"/>
    <col min="2" max="2" width="13.7109375" style="116" customWidth="1"/>
    <col min="3" max="3" width="12.85546875" style="116" bestFit="1" customWidth="1"/>
    <col min="4" max="4" width="13" style="116" bestFit="1" customWidth="1"/>
    <col min="5" max="5" width="12.85546875" style="116" bestFit="1" customWidth="1"/>
    <col min="6" max="6" width="9.140625" style="116"/>
    <col min="7" max="7" width="12.7109375" style="116" customWidth="1"/>
    <col min="8" max="12" width="9.140625" style="116"/>
    <col min="13" max="13" width="13.7109375" style="116" bestFit="1" customWidth="1"/>
    <col min="14" max="14" width="11.28515625" style="116" customWidth="1"/>
    <col min="15" max="15" width="12.42578125" style="116" customWidth="1"/>
    <col min="16" max="16" width="11.42578125" style="116" customWidth="1"/>
    <col min="17" max="17" width="11" style="116" customWidth="1"/>
    <col min="18" max="20" width="11.140625" style="116" bestFit="1" customWidth="1"/>
    <col min="21" max="21" width="12.140625" customWidth="1"/>
    <col min="22" max="22" width="10.140625" bestFit="1" customWidth="1"/>
    <col min="23" max="23" width="13.140625" customWidth="1"/>
    <col min="24" max="24" width="11.5703125" customWidth="1"/>
    <col min="25" max="25" width="11.7109375" style="116" customWidth="1"/>
    <col min="26" max="16384" width="9.140625" style="116"/>
  </cols>
  <sheetData>
    <row r="1" spans="1:23" ht="63.75" x14ac:dyDescent="0.2">
      <c r="B1" s="117" t="s">
        <v>139</v>
      </c>
      <c r="C1" s="118" t="s">
        <v>91</v>
      </c>
      <c r="D1" s="118" t="s">
        <v>92</v>
      </c>
      <c r="N1" s="387" t="s">
        <v>93</v>
      </c>
      <c r="O1" s="387"/>
      <c r="P1" s="387"/>
    </row>
    <row r="2" spans="1:23" x14ac:dyDescent="0.2">
      <c r="A2" s="116">
        <v>2005</v>
      </c>
      <c r="C2" s="119"/>
      <c r="D2" s="60">
        <f>C2</f>
        <v>0</v>
      </c>
      <c r="E2" s="60">
        <f t="shared" ref="E2:E13" si="0">D2/$K$14</f>
        <v>0</v>
      </c>
      <c r="G2" s="389" t="s">
        <v>94</v>
      </c>
      <c r="H2" s="389"/>
      <c r="J2" s="120" t="s">
        <v>95</v>
      </c>
      <c r="K2" s="120">
        <v>1</v>
      </c>
      <c r="L2" s="121"/>
      <c r="N2" s="390">
        <v>8250000</v>
      </c>
      <c r="O2" s="390"/>
      <c r="P2" s="390"/>
    </row>
    <row r="3" spans="1:23" x14ac:dyDescent="0.2">
      <c r="A3" s="116">
        <v>2006</v>
      </c>
      <c r="B3" s="130">
        <f>'[14]Summary - LDC'!$E$19/2*1000</f>
        <v>427240.78167152905</v>
      </c>
      <c r="C3" s="60">
        <f>B3</f>
        <v>427240.78167152905</v>
      </c>
      <c r="D3" s="60">
        <f>C3</f>
        <v>427240.78167152905</v>
      </c>
      <c r="E3" s="60">
        <f t="shared" si="0"/>
        <v>5477.4459188657574</v>
      </c>
      <c r="G3" s="122">
        <f>D32</f>
        <v>427240.78167152905</v>
      </c>
      <c r="H3" s="122">
        <f t="shared" ref="H3:H13" si="1">C3-G3</f>
        <v>0</v>
      </c>
      <c r="J3" s="120" t="s">
        <v>96</v>
      </c>
      <c r="K3" s="120">
        <v>2</v>
      </c>
      <c r="L3" s="121"/>
    </row>
    <row r="4" spans="1:23" ht="13.5" thickBot="1" x14ac:dyDescent="0.25">
      <c r="A4" s="116">
        <v>2007</v>
      </c>
      <c r="B4" s="130">
        <f>('[14]Summary - LDC'!$F$19+'[14]Summary - LDC'!$F$20/2)*1000</f>
        <v>1236141.3893587375</v>
      </c>
      <c r="C4" s="60">
        <f>B4</f>
        <v>1236141.3893587375</v>
      </c>
      <c r="D4" s="60">
        <f>C4-E32</f>
        <v>447389.17704206845</v>
      </c>
      <c r="E4" s="60">
        <f t="shared" si="0"/>
        <v>5735.758680026519</v>
      </c>
      <c r="G4" s="122">
        <f>D44</f>
        <v>1236141.389358737</v>
      </c>
      <c r="H4" s="122">
        <f t="shared" si="1"/>
        <v>0</v>
      </c>
      <c r="J4" s="120" t="s">
        <v>97</v>
      </c>
      <c r="K4" s="120">
        <v>3</v>
      </c>
      <c r="L4" s="121"/>
      <c r="N4" s="391"/>
      <c r="O4" s="391"/>
      <c r="P4" s="391"/>
      <c r="Q4" s="391"/>
      <c r="R4" s="391"/>
    </row>
    <row r="5" spans="1:23" x14ac:dyDescent="0.2">
      <c r="A5" s="116">
        <v>2008</v>
      </c>
      <c r="B5" s="130">
        <f>('[14]Summary - LDC'!$G$19+'[14]Summary - LDC'!$G$20+'[14]Summary - LDC'!$G$21/2)*1000</f>
        <v>1580991.6326929466</v>
      </c>
      <c r="C5" s="60">
        <f>B5</f>
        <v>1580991.6326929466</v>
      </c>
      <c r="D5" s="60">
        <f>C5-E44</f>
        <v>-33709.829547540518</v>
      </c>
      <c r="E5" s="60">
        <f t="shared" si="0"/>
        <v>-432.17730189154508</v>
      </c>
      <c r="G5" s="122">
        <f>D56</f>
        <v>1580991.6326929461</v>
      </c>
      <c r="H5" s="122">
        <f t="shared" si="1"/>
        <v>0</v>
      </c>
      <c r="J5" s="120" t="s">
        <v>98</v>
      </c>
      <c r="K5" s="120">
        <v>4</v>
      </c>
      <c r="L5" s="121"/>
      <c r="M5" s="123"/>
      <c r="N5" s="124">
        <v>2011</v>
      </c>
      <c r="O5" s="124">
        <v>2012</v>
      </c>
      <c r="P5" s="124">
        <v>2013</v>
      </c>
      <c r="Q5" s="124">
        <v>2014</v>
      </c>
      <c r="R5" s="124" t="s">
        <v>11</v>
      </c>
      <c r="S5" s="124">
        <v>2015</v>
      </c>
      <c r="T5" s="124">
        <v>2016</v>
      </c>
      <c r="U5" s="125">
        <v>2017</v>
      </c>
    </row>
    <row r="6" spans="1:23" x14ac:dyDescent="0.2">
      <c r="A6" s="116">
        <v>2009</v>
      </c>
      <c r="B6" s="130">
        <f>('[14]Summary - LDC'!$H$19+'[14]Summary - LDC'!$H$20+'[14]Summary - LDC'!$H$21+'[14]Summary - LDC'!$H$22/2)*1000</f>
        <v>2497478.4631568398</v>
      </c>
      <c r="C6" s="60">
        <f>B6</f>
        <v>2497478.4631568398</v>
      </c>
      <c r="D6" s="60">
        <f>C6-E56</f>
        <v>945010.53238873603</v>
      </c>
      <c r="E6" s="60">
        <f t="shared" si="0"/>
        <v>12115.519646009436</v>
      </c>
      <c r="G6" s="122">
        <f>D68</f>
        <v>2497478.4631568389</v>
      </c>
      <c r="H6" s="122">
        <f t="shared" si="1"/>
        <v>0</v>
      </c>
      <c r="J6" s="120" t="s">
        <v>79</v>
      </c>
      <c r="K6" s="120">
        <v>5</v>
      </c>
      <c r="L6" s="121"/>
      <c r="M6" s="126" t="s">
        <v>108</v>
      </c>
      <c r="N6" s="127">
        <f>N12/$N$2</f>
        <v>6.6215393939393935E-2</v>
      </c>
      <c r="O6" s="127">
        <f>O12/$N$2</f>
        <v>6.6215393939393935E-2</v>
      </c>
      <c r="P6" s="127">
        <f>P12/$N$2</f>
        <v>6.6215393939393935E-2</v>
      </c>
      <c r="Q6" s="127">
        <f>Q12/$N$2</f>
        <v>6.6215393939393935E-2</v>
      </c>
      <c r="R6" s="127">
        <f>SUM(N6:Q6)</f>
        <v>0.26486157575757574</v>
      </c>
      <c r="S6" s="392"/>
      <c r="T6" s="392"/>
      <c r="U6" s="393"/>
      <c r="W6" s="172">
        <v>6.6000000000000003E-2</v>
      </c>
    </row>
    <row r="7" spans="1:23" x14ac:dyDescent="0.2">
      <c r="A7" s="116">
        <v>2010</v>
      </c>
      <c r="B7" s="130">
        <f>('[14]Summary - LDC'!$I$19+'[14]Summary - LDC'!$I$20+'[14]Summary - LDC'!$I$21+'[14]Summary - LDC'!$I$22+'[14]Summary - LDC'!$I$23/2)*1000</f>
        <v>2813853.0456658443</v>
      </c>
      <c r="C7" s="60">
        <f>B7</f>
        <v>2813853.0456658443</v>
      </c>
      <c r="D7" s="60">
        <f>C7-E68</f>
        <v>-483249.71412761742</v>
      </c>
      <c r="E7" s="60">
        <f t="shared" si="0"/>
        <v>-6195.5091554822748</v>
      </c>
      <c r="G7" s="122">
        <f>D80</f>
        <v>2813853.0456658434</v>
      </c>
      <c r="H7" s="122">
        <f t="shared" si="1"/>
        <v>0</v>
      </c>
      <c r="J7" s="120" t="s">
        <v>99</v>
      </c>
      <c r="K7" s="120">
        <v>6</v>
      </c>
      <c r="L7" s="121"/>
      <c r="M7" s="126" t="s">
        <v>109</v>
      </c>
      <c r="N7" s="127"/>
      <c r="O7" s="127">
        <f t="shared" ref="O7" si="2">O13/$N$2</f>
        <v>0.14312181818181818</v>
      </c>
      <c r="P7" s="127">
        <f>P13/$N$2</f>
        <v>0.14312181818181818</v>
      </c>
      <c r="Q7" s="127">
        <f>Q13/$N$2</f>
        <v>0.14312181818181818</v>
      </c>
      <c r="R7" s="127">
        <f t="shared" ref="R7:R9" si="3">SUM(N7:Q7)</f>
        <v>0.42936545454545455</v>
      </c>
      <c r="S7" s="392"/>
      <c r="T7" s="392"/>
      <c r="U7" s="393"/>
      <c r="W7" s="172">
        <v>0.14299999999999999</v>
      </c>
    </row>
    <row r="8" spans="1:23" x14ac:dyDescent="0.2">
      <c r="A8" s="116">
        <v>2011</v>
      </c>
      <c r="B8" s="130">
        <f>('[14]Summary - LDC'!$J$19+'[14]Summary - LDC'!$J$20+'[14]Summary - LDC'!$J$21+'[14]Summary - LDC'!$J$22+'[14]Summary - LDC'!$J$23)*1000</f>
        <v>2924192.7248424157</v>
      </c>
      <c r="C8" s="60">
        <f>B8+N12/2</f>
        <v>3197331.2248424157</v>
      </c>
      <c r="D8" s="60">
        <f>C8-E80</f>
        <v>792381.78343840316</v>
      </c>
      <c r="E8" s="60">
        <f t="shared" si="0"/>
        <v>10158.740813312861</v>
      </c>
      <c r="G8" s="122">
        <f>D92</f>
        <v>3197331.2248424157</v>
      </c>
      <c r="H8" s="122">
        <f t="shared" si="1"/>
        <v>0</v>
      </c>
      <c r="J8" s="120" t="s">
        <v>100</v>
      </c>
      <c r="K8" s="120">
        <v>7</v>
      </c>
      <c r="L8" s="121"/>
      <c r="M8" s="126" t="s">
        <v>110</v>
      </c>
      <c r="N8" s="128"/>
      <c r="O8" s="127"/>
      <c r="P8" s="127">
        <f>P14/$N$2</f>
        <v>7.8517575757575758E-2</v>
      </c>
      <c r="Q8" s="127">
        <f t="shared" ref="Q8:Q9" si="4">Q14/$N$2</f>
        <v>7.8517575757575758E-2</v>
      </c>
      <c r="R8" s="127">
        <f t="shared" si="3"/>
        <v>0.15703515151515152</v>
      </c>
      <c r="S8" s="392"/>
      <c r="T8" s="392"/>
      <c r="U8" s="393"/>
      <c r="W8" s="172">
        <v>0.14299999999999999</v>
      </c>
    </row>
    <row r="9" spans="1:23" x14ac:dyDescent="0.2">
      <c r="A9" s="116">
        <v>2012</v>
      </c>
      <c r="B9" s="130">
        <f>('[14]Summary - LDC'!$K$19+'[14]Summary - LDC'!$K$20+'[14]Summary - LDC'!$K$21+'[14]Summary - LDC'!$K$22+'[14]Summary - LDC'!$K$23)*1000</f>
        <v>2856639.2028778386</v>
      </c>
      <c r="C9" s="60">
        <f>B9+O12+O13/2</f>
        <v>3993293.7028778386</v>
      </c>
      <c r="D9" s="60">
        <f>C9-E92</f>
        <v>125485.58435677411</v>
      </c>
      <c r="E9" s="60">
        <f t="shared" si="0"/>
        <v>1608.7895430355654</v>
      </c>
      <c r="G9" s="122">
        <f>D104</f>
        <v>3993293.7028778382</v>
      </c>
      <c r="H9" s="122">
        <f t="shared" si="1"/>
        <v>0</v>
      </c>
      <c r="J9" s="120" t="s">
        <v>101</v>
      </c>
      <c r="K9" s="120">
        <v>8</v>
      </c>
      <c r="L9" s="121"/>
      <c r="M9" s="126" t="s">
        <v>111</v>
      </c>
      <c r="N9" s="128"/>
      <c r="O9" s="128"/>
      <c r="P9" s="127"/>
      <c r="Q9" s="127">
        <f t="shared" si="4"/>
        <v>2.600848484848485E-2</v>
      </c>
      <c r="R9" s="127">
        <f t="shared" si="3"/>
        <v>2.600848484848485E-2</v>
      </c>
      <c r="S9" s="392"/>
      <c r="T9" s="392"/>
      <c r="U9" s="393"/>
      <c r="W9" s="172">
        <v>0.14299999999999999</v>
      </c>
    </row>
    <row r="10" spans="1:23" x14ac:dyDescent="0.2">
      <c r="A10" s="116">
        <v>2013</v>
      </c>
      <c r="B10" s="130">
        <f>('[14]Summary - LDC'!$L$19+'[14]Summary - LDC'!$L$20+'[14]Summary - LDC'!$L$21+'[14]Summary - LDC'!$L$22+'[14]Summary - LDC'!$L$23)*1000</f>
        <v>2854163.5088506308</v>
      </c>
      <c r="C10" s="60">
        <f>B10+P12+P13+P14/2</f>
        <v>4905080.5088506304</v>
      </c>
      <c r="D10" s="60">
        <f>C10-E104</f>
        <v>805606.69613244571</v>
      </c>
      <c r="E10" s="60">
        <f t="shared" si="0"/>
        <v>10328.290976056996</v>
      </c>
      <c r="G10" s="122">
        <f>D116</f>
        <v>4905080.5088506313</v>
      </c>
      <c r="H10" s="122">
        <f t="shared" si="1"/>
        <v>0</v>
      </c>
      <c r="J10" s="120" t="s">
        <v>102</v>
      </c>
      <c r="K10" s="120">
        <v>9</v>
      </c>
      <c r="L10" s="121"/>
      <c r="M10" s="126" t="s">
        <v>11</v>
      </c>
      <c r="N10" s="127">
        <f>SUM(N6:N9)</f>
        <v>6.6215393939393935E-2</v>
      </c>
      <c r="O10" s="127">
        <f>SUM(O6:O9)</f>
        <v>0.20933721212121212</v>
      </c>
      <c r="P10" s="127">
        <f>SUM(P6:P9)</f>
        <v>0.28785478787878788</v>
      </c>
      <c r="Q10" s="127">
        <f>SUM(Q6:Q9)</f>
        <v>0.31386327272727271</v>
      </c>
      <c r="R10" s="127">
        <f>SUM(N10:Q10)</f>
        <v>0.87727066666666675</v>
      </c>
      <c r="S10" s="392"/>
      <c r="T10" s="392"/>
      <c r="U10" s="393"/>
      <c r="W10" s="172">
        <v>0.14299999999999999</v>
      </c>
    </row>
    <row r="11" spans="1:23" x14ac:dyDescent="0.2">
      <c r="A11" s="116">
        <v>2014</v>
      </c>
      <c r="B11" s="130">
        <f>('[14]Summary - LDC'!$M$19+'[14]Summary - LDC'!$M$20+'[14]Summary - LDC'!$M$21+'[14]Summary - LDC'!$M$22+'[14]Summary - LDC'!$M$23)*1000</f>
        <v>2788162.1092913793</v>
      </c>
      <c r="C11" s="60">
        <f>B11+$Q$12+$Q$13+$Q$14+$Q$15/2</f>
        <v>5270249.1092913793</v>
      </c>
      <c r="D11" s="60">
        <f>C11-E116</f>
        <v>-316498.60397901386</v>
      </c>
      <c r="E11" s="60">
        <f t="shared" si="0"/>
        <v>-4057.6744099873572</v>
      </c>
      <c r="G11" s="122">
        <f>D128</f>
        <v>5270249.1092913803</v>
      </c>
      <c r="H11" s="122">
        <f t="shared" si="1"/>
        <v>0</v>
      </c>
      <c r="J11" s="120" t="s">
        <v>103</v>
      </c>
      <c r="K11" s="120">
        <v>10</v>
      </c>
      <c r="L11" s="121"/>
      <c r="M11" s="386"/>
      <c r="N11" s="387"/>
      <c r="O11" s="387"/>
      <c r="P11" s="387"/>
      <c r="Q11" s="387"/>
      <c r="R11" s="387"/>
      <c r="S11" s="387"/>
      <c r="T11" s="387"/>
      <c r="U11" s="388"/>
      <c r="W11" s="172">
        <v>0.14299999999999999</v>
      </c>
    </row>
    <row r="12" spans="1:23" x14ac:dyDescent="0.2">
      <c r="A12" s="116">
        <v>2015</v>
      </c>
      <c r="B12" s="130">
        <f>('[14]Summary - LDC'!$N$19+'[14]Summary - LDC'!$N$20+'[14]Summary - LDC'!$N$21+'[14]Summary - LDC'!$N$22+'[14]Summary - LDC'!$N$23)*1000</f>
        <v>2434469.0265944111</v>
      </c>
      <c r="C12" s="60">
        <f>B12+$S$12+$S$13+$S$14+$S$15+ S18/2</f>
        <v>5663297.7307193633</v>
      </c>
      <c r="D12" s="60">
        <f>C12-E128</f>
        <v>660855.13248714805</v>
      </c>
      <c r="E12" s="60">
        <f t="shared" si="0"/>
        <v>8472.5016985531802</v>
      </c>
      <c r="G12" s="122">
        <f>D140</f>
        <v>5663297.7307193615</v>
      </c>
      <c r="H12" s="122">
        <f t="shared" si="1"/>
        <v>0</v>
      </c>
      <c r="J12" s="120" t="s">
        <v>104</v>
      </c>
      <c r="K12" s="120">
        <v>11</v>
      </c>
      <c r="L12" s="121"/>
      <c r="M12" s="164" t="s">
        <v>108</v>
      </c>
      <c r="N12" s="153">
        <v>546277</v>
      </c>
      <c r="O12" s="153">
        <v>546277</v>
      </c>
      <c r="P12" s="153">
        <v>546277</v>
      </c>
      <c r="Q12" s="153">
        <v>546277</v>
      </c>
      <c r="R12" s="165">
        <f>SUM(N12:Q12)</f>
        <v>2185108</v>
      </c>
      <c r="S12" s="153">
        <f>Q12</f>
        <v>546277</v>
      </c>
      <c r="T12" s="153">
        <f>S12</f>
        <v>546277</v>
      </c>
      <c r="U12" s="170">
        <f>T12</f>
        <v>546277</v>
      </c>
    </row>
    <row r="13" spans="1:23" x14ac:dyDescent="0.2">
      <c r="A13" s="116">
        <v>2016</v>
      </c>
      <c r="B13" s="130">
        <f>('[14]Summary - LDC'!$O$19+'[14]Summary - LDC'!$O$20+'[14]Summary - LDC'!$O$21+'[14]Summary - LDC'!$O$22+'[14]Summary - LDC'!$O$23)*1000</f>
        <v>2315397.7459071311</v>
      </c>
      <c r="C13" s="60">
        <f>B13+$T$12+$T$13+$T$14+$T$15+ T18/2</f>
        <v>5544226.4500320833</v>
      </c>
      <c r="D13" s="60">
        <f>C13-E140</f>
        <v>-678256.39279178623</v>
      </c>
      <c r="E13" s="60">
        <f t="shared" si="0"/>
        <v>-8695.5947793818741</v>
      </c>
      <c r="G13" s="122">
        <f>D152</f>
        <v>5544226.4500320833</v>
      </c>
      <c r="H13" s="122">
        <f t="shared" si="1"/>
        <v>0</v>
      </c>
      <c r="J13" s="120" t="s">
        <v>106</v>
      </c>
      <c r="K13" s="120">
        <v>12</v>
      </c>
      <c r="L13" s="121"/>
      <c r="M13" s="164" t="s">
        <v>109</v>
      </c>
      <c r="N13" s="153"/>
      <c r="O13" s="153">
        <v>1180755</v>
      </c>
      <c r="P13" s="153">
        <v>1180755</v>
      </c>
      <c r="Q13" s="153">
        <v>1180755</v>
      </c>
      <c r="R13" s="165">
        <f>SUM(N13:Q13)</f>
        <v>3542265</v>
      </c>
      <c r="S13" s="153">
        <f>Q13</f>
        <v>1180755</v>
      </c>
      <c r="T13" s="153">
        <f t="shared" ref="T13:T14" si="5">S13</f>
        <v>1180755</v>
      </c>
      <c r="U13" s="170">
        <f t="shared" ref="U13:U15" si="6">T13</f>
        <v>1180755</v>
      </c>
    </row>
    <row r="14" spans="1:23" x14ac:dyDescent="0.2">
      <c r="A14" s="116" t="s">
        <v>11</v>
      </c>
      <c r="B14" s="130">
        <f>SUM(B3:B13)</f>
        <v>24728729.630909704</v>
      </c>
      <c r="C14" s="130">
        <f>SUM(C3:C13)</f>
        <v>37129184.039159611</v>
      </c>
      <c r="D14" s="60"/>
      <c r="E14" s="60"/>
      <c r="G14" s="60">
        <f>SUM(G3:G13)</f>
        <v>37129184.039159603</v>
      </c>
      <c r="H14" s="122">
        <f>C15-G15</f>
        <v>0</v>
      </c>
      <c r="J14" s="120" t="s">
        <v>11</v>
      </c>
      <c r="K14" s="120">
        <f>SUM(K2:K13)</f>
        <v>78</v>
      </c>
      <c r="L14" s="121"/>
      <c r="M14" s="164" t="s">
        <v>110</v>
      </c>
      <c r="N14" s="153"/>
      <c r="O14" s="153"/>
      <c r="P14" s="153">
        <v>647770</v>
      </c>
      <c r="Q14" s="153">
        <v>647770</v>
      </c>
      <c r="R14" s="165">
        <f>SUM(N14:Q14)</f>
        <v>1295540</v>
      </c>
      <c r="S14" s="153">
        <f>Q14</f>
        <v>647770</v>
      </c>
      <c r="T14" s="153">
        <f t="shared" si="5"/>
        <v>647770</v>
      </c>
      <c r="U14" s="170">
        <f t="shared" si="6"/>
        <v>647770</v>
      </c>
    </row>
    <row r="15" spans="1:23" x14ac:dyDescent="0.2">
      <c r="B15" s="130"/>
      <c r="C15" s="60"/>
      <c r="D15" s="60"/>
      <c r="E15" s="60"/>
      <c r="G15" s="122"/>
      <c r="H15" s="122"/>
      <c r="M15" s="164" t="s">
        <v>111</v>
      </c>
      <c r="N15" s="153"/>
      <c r="O15" s="153"/>
      <c r="P15" s="153"/>
      <c r="Q15" s="153">
        <v>214570</v>
      </c>
      <c r="R15" s="165">
        <f>SUM(N15:Q15)</f>
        <v>214570</v>
      </c>
      <c r="S15" s="153">
        <f>Q15</f>
        <v>214570</v>
      </c>
      <c r="T15" s="153">
        <f>S15</f>
        <v>214570</v>
      </c>
      <c r="U15" s="170">
        <f t="shared" si="6"/>
        <v>214570</v>
      </c>
    </row>
    <row r="16" spans="1:23" x14ac:dyDescent="0.2">
      <c r="B16" s="60"/>
      <c r="C16" s="60"/>
      <c r="D16" s="60"/>
      <c r="E16" s="60"/>
      <c r="M16" s="126" t="s">
        <v>17</v>
      </c>
      <c r="N16" s="131">
        <f>SUM(N12:N15)</f>
        <v>546277</v>
      </c>
      <c r="O16" s="131">
        <f>SUM(O12:O15)</f>
        <v>1727032</v>
      </c>
      <c r="P16" s="131">
        <f>SUM(P12:P15)</f>
        <v>2374802</v>
      </c>
      <c r="Q16" s="131">
        <f>SUM(Q12:Q15)</f>
        <v>2589372</v>
      </c>
      <c r="R16" s="131">
        <f>SUM(N16:Q16)</f>
        <v>7237483</v>
      </c>
      <c r="S16" s="131">
        <f>SUM(S12:S15)</f>
        <v>2589372</v>
      </c>
      <c r="T16" s="131">
        <f>SUM(T12:T15)</f>
        <v>2589372</v>
      </c>
      <c r="U16" s="132">
        <f>SUM(U12:U15)</f>
        <v>2589372</v>
      </c>
    </row>
    <row r="17" spans="1:56" x14ac:dyDescent="0.2">
      <c r="C17" s="60"/>
      <c r="E17" s="60"/>
      <c r="H17" s="122">
        <f>SUM(H3:H11)</f>
        <v>0</v>
      </c>
      <c r="M17" s="386"/>
      <c r="N17" s="387"/>
      <c r="O17" s="387"/>
      <c r="P17" s="387"/>
      <c r="Q17" s="387"/>
      <c r="R17" s="387"/>
      <c r="S17" s="387"/>
      <c r="T17" s="387"/>
      <c r="U17" s="388"/>
    </row>
    <row r="18" spans="1:56" ht="12.75" customHeight="1" x14ac:dyDescent="0.2">
      <c r="C18" s="60" t="s">
        <v>105</v>
      </c>
      <c r="M18" s="126" t="s">
        <v>140</v>
      </c>
      <c r="N18" s="133"/>
      <c r="O18" s="133"/>
      <c r="P18" s="133"/>
      <c r="Q18" s="133"/>
      <c r="R18" s="134"/>
      <c r="S18" s="171">
        <f>'[15]D. CDM Plan Milestone LDC 1'!$O$80*1000</f>
        <v>1278913.4082499032</v>
      </c>
      <c r="T18" s="171">
        <f>S18</f>
        <v>1278913.4082499032</v>
      </c>
      <c r="U18" s="173">
        <f>T18</f>
        <v>1278913.4082499032</v>
      </c>
    </row>
    <row r="19" spans="1:56" x14ac:dyDescent="0.2">
      <c r="C19" s="60"/>
      <c r="M19" s="126" t="s">
        <v>141</v>
      </c>
      <c r="N19" s="133"/>
      <c r="O19" s="133"/>
      <c r="P19" s="133"/>
      <c r="Q19" s="133"/>
      <c r="R19" s="133"/>
      <c r="S19" s="171"/>
      <c r="T19" s="171">
        <v>1785578.367842355</v>
      </c>
      <c r="U19" s="173">
        <f>T19</f>
        <v>1785578.367842355</v>
      </c>
    </row>
    <row r="20" spans="1:56" x14ac:dyDescent="0.2">
      <c r="C20" s="60"/>
      <c r="M20" s="126" t="s">
        <v>151</v>
      </c>
      <c r="N20" s="133"/>
      <c r="O20" s="133"/>
      <c r="P20" s="133"/>
      <c r="Q20" s="133"/>
      <c r="R20" s="133"/>
      <c r="S20" s="171"/>
      <c r="T20" s="171"/>
      <c r="U20" s="173">
        <f>'[15]D. CDM Plan Milestone LDC 1'!$S$80*1000</f>
        <v>1855380.7678423552</v>
      </c>
      <c r="V20" s="64"/>
    </row>
    <row r="21" spans="1:56" ht="13.5" thickBot="1" x14ac:dyDescent="0.25">
      <c r="A21" s="135">
        <v>38718</v>
      </c>
      <c r="B21" s="135"/>
      <c r="C21" s="60">
        <f>$E$3</f>
        <v>5477.4459188657574</v>
      </c>
      <c r="G21" s="122"/>
      <c r="M21" s="136" t="s">
        <v>17</v>
      </c>
      <c r="N21" s="137"/>
      <c r="O21" s="137"/>
      <c r="P21" s="137"/>
      <c r="Q21" s="137"/>
      <c r="R21" s="137"/>
      <c r="S21" s="138">
        <f>SUM(S18:S20)</f>
        <v>1278913.4082499032</v>
      </c>
      <c r="T21" s="138">
        <f t="shared" ref="T21:U21" si="7">SUM(T18:T20)</f>
        <v>3064491.7760922583</v>
      </c>
      <c r="U21" s="138">
        <f t="shared" si="7"/>
        <v>4919872.5439346135</v>
      </c>
    </row>
    <row r="22" spans="1:56" x14ac:dyDescent="0.2">
      <c r="A22" s="135">
        <v>38749</v>
      </c>
      <c r="B22" s="135"/>
      <c r="C22" s="60">
        <f>C21+$E$3</f>
        <v>10954.891837731515</v>
      </c>
    </row>
    <row r="23" spans="1:56" x14ac:dyDescent="0.2">
      <c r="A23" s="135">
        <v>38777</v>
      </c>
      <c r="B23" s="135"/>
      <c r="C23" s="60">
        <f>C22+$E$3</f>
        <v>16432.337756597273</v>
      </c>
      <c r="S23"/>
      <c r="T23"/>
    </row>
    <row r="24" spans="1:56" x14ac:dyDescent="0.2">
      <c r="A24" s="135">
        <v>38808</v>
      </c>
      <c r="B24" s="135"/>
      <c r="C24" s="60">
        <f>C23+$E$3</f>
        <v>21909.78367546303</v>
      </c>
    </row>
    <row r="25" spans="1:56" x14ac:dyDescent="0.2">
      <c r="A25" s="135">
        <v>38838</v>
      </c>
      <c r="B25" s="135"/>
      <c r="C25" s="60">
        <f t="shared" ref="C25:C32" si="8">C24+$E$3</f>
        <v>27387.229594328786</v>
      </c>
    </row>
    <row r="26" spans="1:56" x14ac:dyDescent="0.2">
      <c r="A26" s="135">
        <v>38869</v>
      </c>
      <c r="B26" s="135"/>
      <c r="C26" s="60">
        <f t="shared" si="8"/>
        <v>32864.675513194547</v>
      </c>
      <c r="N26" s="139"/>
      <c r="O26" s="139"/>
    </row>
    <row r="27" spans="1:56" x14ac:dyDescent="0.2">
      <c r="A27" s="135">
        <v>38899</v>
      </c>
      <c r="B27" s="135"/>
      <c r="C27" s="60">
        <f t="shared" si="8"/>
        <v>38342.121432060303</v>
      </c>
      <c r="N27" s="139"/>
      <c r="O27" s="139"/>
      <c r="S27" s="129">
        <f>16200000</f>
        <v>16200000</v>
      </c>
      <c r="T27" s="116" t="s">
        <v>150</v>
      </c>
      <c r="BD27" s="116" t="s">
        <v>142</v>
      </c>
    </row>
    <row r="28" spans="1:56" x14ac:dyDescent="0.2">
      <c r="A28" s="135">
        <v>38930</v>
      </c>
      <c r="B28" s="135"/>
      <c r="C28" s="60">
        <f t="shared" si="8"/>
        <v>43819.56735092606</v>
      </c>
      <c r="N28" s="140"/>
      <c r="O28" s="140"/>
      <c r="S28" s="129">
        <f>S27/6</f>
        <v>2700000</v>
      </c>
      <c r="Z28" s="141"/>
    </row>
    <row r="29" spans="1:56" x14ac:dyDescent="0.2">
      <c r="A29" s="135">
        <v>38961</v>
      </c>
      <c r="B29" s="135"/>
      <c r="C29" s="60">
        <f t="shared" si="8"/>
        <v>49297.013269791816</v>
      </c>
      <c r="N29" s="142"/>
      <c r="O29" s="139"/>
      <c r="S29" s="62"/>
    </row>
    <row r="30" spans="1:56" x14ac:dyDescent="0.2">
      <c r="A30" s="135">
        <v>38991</v>
      </c>
      <c r="B30" s="135"/>
      <c r="C30" s="60">
        <f t="shared" si="8"/>
        <v>54774.459188657573</v>
      </c>
      <c r="N30" s="143"/>
      <c r="O30" s="143"/>
      <c r="P30" s="143"/>
      <c r="Q30" s="143"/>
      <c r="R30" s="143"/>
      <c r="S30"/>
      <c r="T30" s="143"/>
    </row>
    <row r="31" spans="1:56" x14ac:dyDescent="0.2">
      <c r="A31" s="135">
        <v>39022</v>
      </c>
      <c r="B31" s="135"/>
      <c r="C31" s="60">
        <f t="shared" si="8"/>
        <v>60251.905107523329</v>
      </c>
      <c r="D31" s="144" t="s">
        <v>94</v>
      </c>
      <c r="N31" s="143"/>
      <c r="O31" s="143"/>
      <c r="P31" s="143"/>
      <c r="Q31" s="143"/>
      <c r="R31" s="143"/>
      <c r="S31" s="143"/>
      <c r="T31" s="143"/>
    </row>
    <row r="32" spans="1:56" x14ac:dyDescent="0.2">
      <c r="A32" s="135">
        <v>39052</v>
      </c>
      <c r="B32" s="135"/>
      <c r="C32" s="60">
        <f t="shared" si="8"/>
        <v>65729.351026389093</v>
      </c>
      <c r="D32" s="60">
        <f>SUM(C21:C32)</f>
        <v>427240.78167152905</v>
      </c>
      <c r="E32" s="60">
        <f>C32*12</f>
        <v>788752.21231666906</v>
      </c>
      <c r="N32" s="143"/>
      <c r="O32" s="143"/>
      <c r="P32" s="143"/>
      <c r="Q32" s="143"/>
      <c r="R32" s="143"/>
      <c r="S32" s="143"/>
      <c r="T32" s="143"/>
    </row>
    <row r="33" spans="1:20" x14ac:dyDescent="0.2">
      <c r="A33" s="135">
        <v>39083</v>
      </c>
      <c r="B33" s="135"/>
      <c r="C33" s="60">
        <f t="shared" ref="C33:C44" si="9">C32+$E$4</f>
        <v>71465.109706415606</v>
      </c>
      <c r="N33" s="143"/>
      <c r="O33" s="143"/>
      <c r="P33" s="143"/>
      <c r="Q33" s="143"/>
      <c r="R33" s="143"/>
      <c r="S33" s="143"/>
      <c r="T33" s="143"/>
    </row>
    <row r="34" spans="1:20" x14ac:dyDescent="0.2">
      <c r="A34" s="135">
        <v>39114</v>
      </c>
      <c r="B34" s="135"/>
      <c r="C34" s="60">
        <f t="shared" si="9"/>
        <v>77200.868386442118</v>
      </c>
      <c r="N34" s="143"/>
      <c r="O34" s="143"/>
      <c r="P34" s="143"/>
      <c r="Q34" s="143"/>
      <c r="R34" s="143"/>
      <c r="S34" s="143"/>
      <c r="T34" s="143"/>
    </row>
    <row r="35" spans="1:20" x14ac:dyDescent="0.2">
      <c r="A35" s="135">
        <v>39142</v>
      </c>
      <c r="B35" s="135"/>
      <c r="C35" s="60">
        <f t="shared" si="9"/>
        <v>82936.627066468631</v>
      </c>
      <c r="N35" s="143"/>
      <c r="O35" s="143"/>
      <c r="P35" s="143"/>
      <c r="Q35" s="143"/>
      <c r="R35" s="143"/>
      <c r="S35" s="143"/>
      <c r="T35" s="143"/>
    </row>
    <row r="36" spans="1:20" x14ac:dyDescent="0.2">
      <c r="A36" s="135">
        <v>39173</v>
      </c>
      <c r="B36" s="135"/>
      <c r="C36" s="60">
        <f t="shared" si="9"/>
        <v>88672.385746495143</v>
      </c>
      <c r="N36" s="143"/>
      <c r="O36" s="143"/>
      <c r="P36" s="143"/>
      <c r="Q36" s="143"/>
      <c r="R36" s="143"/>
      <c r="S36" s="143"/>
      <c r="T36" s="143"/>
    </row>
    <row r="37" spans="1:20" x14ac:dyDescent="0.2">
      <c r="A37" s="135">
        <v>39203</v>
      </c>
      <c r="B37" s="135"/>
      <c r="C37" s="60">
        <f t="shared" si="9"/>
        <v>94408.144426521656</v>
      </c>
      <c r="N37" s="143"/>
      <c r="O37" s="143"/>
      <c r="P37" s="143"/>
      <c r="Q37" s="143"/>
      <c r="R37" s="143"/>
      <c r="S37" s="143"/>
      <c r="T37" s="143"/>
    </row>
    <row r="38" spans="1:20" x14ac:dyDescent="0.2">
      <c r="A38" s="135">
        <v>39234</v>
      </c>
      <c r="B38" s="135"/>
      <c r="C38" s="60">
        <f t="shared" si="9"/>
        <v>100143.90310654817</v>
      </c>
      <c r="N38" s="143"/>
      <c r="O38" s="143"/>
      <c r="P38" s="143"/>
      <c r="Q38" s="143"/>
      <c r="R38" s="143"/>
      <c r="S38" s="143"/>
      <c r="T38" s="143"/>
    </row>
    <row r="39" spans="1:20" x14ac:dyDescent="0.2">
      <c r="A39" s="135">
        <v>39264</v>
      </c>
      <c r="B39" s="135"/>
      <c r="C39" s="60">
        <f t="shared" si="9"/>
        <v>105879.66178657468</v>
      </c>
      <c r="N39" s="143"/>
      <c r="O39" s="143"/>
      <c r="P39" s="143"/>
      <c r="Q39" s="143"/>
      <c r="R39" s="143"/>
      <c r="S39" s="143"/>
      <c r="T39" s="143"/>
    </row>
    <row r="40" spans="1:20" x14ac:dyDescent="0.2">
      <c r="A40" s="135">
        <v>39295</v>
      </c>
      <c r="B40" s="135"/>
      <c r="C40" s="60">
        <f t="shared" si="9"/>
        <v>111615.42046660119</v>
      </c>
      <c r="N40" s="143"/>
      <c r="O40" s="143"/>
      <c r="P40" s="143"/>
      <c r="Q40" s="143"/>
      <c r="R40" s="143"/>
      <c r="S40" s="143"/>
      <c r="T40" s="143"/>
    </row>
    <row r="41" spans="1:20" x14ac:dyDescent="0.2">
      <c r="A41" s="135">
        <v>39326</v>
      </c>
      <c r="B41" s="135"/>
      <c r="C41" s="60">
        <f t="shared" si="9"/>
        <v>117351.17914662771</v>
      </c>
    </row>
    <row r="42" spans="1:20" x14ac:dyDescent="0.2">
      <c r="A42" s="135">
        <v>39356</v>
      </c>
      <c r="B42" s="135"/>
      <c r="C42" s="60">
        <f t="shared" si="9"/>
        <v>123086.93782665422</v>
      </c>
    </row>
    <row r="43" spans="1:20" x14ac:dyDescent="0.2">
      <c r="A43" s="135">
        <v>39387</v>
      </c>
      <c r="B43" s="135"/>
      <c r="C43" s="60">
        <f t="shared" si="9"/>
        <v>128822.69650668073</v>
      </c>
      <c r="D43" s="144" t="s">
        <v>94</v>
      </c>
    </row>
    <row r="44" spans="1:20" x14ac:dyDescent="0.2">
      <c r="A44" s="135">
        <v>39417</v>
      </c>
      <c r="B44" s="135"/>
      <c r="C44" s="60">
        <f t="shared" si="9"/>
        <v>134558.45518670726</v>
      </c>
      <c r="D44" s="60">
        <f>SUM(C33:C44)</f>
        <v>1236141.389358737</v>
      </c>
      <c r="E44" s="60">
        <f>C44*12</f>
        <v>1614701.4622404871</v>
      </c>
    </row>
    <row r="45" spans="1:20" x14ac:dyDescent="0.2">
      <c r="A45" s="135">
        <v>39448</v>
      </c>
      <c r="B45" s="135"/>
      <c r="C45" s="60">
        <f t="shared" ref="C45:C56" si="10">C44+$E$5</f>
        <v>134126.2778848157</v>
      </c>
    </row>
    <row r="46" spans="1:20" x14ac:dyDescent="0.2">
      <c r="A46" s="135">
        <v>39479</v>
      </c>
      <c r="B46" s="135"/>
      <c r="C46" s="60">
        <f t="shared" si="10"/>
        <v>133694.10058292415</v>
      </c>
    </row>
    <row r="47" spans="1:20" x14ac:dyDescent="0.2">
      <c r="A47" s="135">
        <v>39508</v>
      </c>
      <c r="B47" s="135"/>
      <c r="C47" s="60">
        <f t="shared" si="10"/>
        <v>133261.92328103259</v>
      </c>
    </row>
    <row r="48" spans="1:20" x14ac:dyDescent="0.2">
      <c r="A48" s="135">
        <v>39539</v>
      </c>
      <c r="B48" s="135"/>
      <c r="C48" s="60">
        <f t="shared" si="10"/>
        <v>132829.74597914104</v>
      </c>
    </row>
    <row r="49" spans="1:5" x14ac:dyDescent="0.2">
      <c r="A49" s="135">
        <v>39569</v>
      </c>
      <c r="B49" s="135"/>
      <c r="C49" s="60">
        <f t="shared" si="10"/>
        <v>132397.56867724948</v>
      </c>
    </row>
    <row r="50" spans="1:5" x14ac:dyDescent="0.2">
      <c r="A50" s="135">
        <v>39600</v>
      </c>
      <c r="B50" s="135"/>
      <c r="C50" s="60">
        <f t="shared" si="10"/>
        <v>131965.39137535793</v>
      </c>
    </row>
    <row r="51" spans="1:5" x14ac:dyDescent="0.2">
      <c r="A51" s="135">
        <v>39630</v>
      </c>
      <c r="B51" s="135"/>
      <c r="C51" s="60">
        <f t="shared" si="10"/>
        <v>131533.21407346637</v>
      </c>
    </row>
    <row r="52" spans="1:5" x14ac:dyDescent="0.2">
      <c r="A52" s="135">
        <v>39661</v>
      </c>
      <c r="B52" s="135"/>
      <c r="C52" s="60">
        <f t="shared" si="10"/>
        <v>131101.03677157481</v>
      </c>
    </row>
    <row r="53" spans="1:5" x14ac:dyDescent="0.2">
      <c r="A53" s="135">
        <v>39692</v>
      </c>
      <c r="B53" s="135"/>
      <c r="C53" s="60">
        <f t="shared" si="10"/>
        <v>130668.85946968327</v>
      </c>
    </row>
    <row r="54" spans="1:5" x14ac:dyDescent="0.2">
      <c r="A54" s="135">
        <v>39722</v>
      </c>
      <c r="B54" s="135"/>
      <c r="C54" s="60">
        <f t="shared" si="10"/>
        <v>130236.68216779173</v>
      </c>
    </row>
    <row r="55" spans="1:5" x14ac:dyDescent="0.2">
      <c r="A55" s="135">
        <v>39753</v>
      </c>
      <c r="B55" s="135"/>
      <c r="C55" s="60">
        <f t="shared" si="10"/>
        <v>129804.50486590019</v>
      </c>
    </row>
    <row r="56" spans="1:5" x14ac:dyDescent="0.2">
      <c r="A56" s="135">
        <v>39783</v>
      </c>
      <c r="B56" s="135"/>
      <c r="C56" s="60">
        <f t="shared" si="10"/>
        <v>129372.32756400865</v>
      </c>
      <c r="D56" s="60">
        <f>SUM(C45:C56)</f>
        <v>1580991.6326929461</v>
      </c>
      <c r="E56" s="60">
        <f>C56*12</f>
        <v>1552467.9307681038</v>
      </c>
    </row>
    <row r="57" spans="1:5" x14ac:dyDescent="0.2">
      <c r="A57" s="135">
        <v>39814</v>
      </c>
      <c r="B57" s="135"/>
      <c r="C57" s="60">
        <f t="shared" ref="C57:C68" si="11">C56+$E$6</f>
        <v>141487.84721001808</v>
      </c>
    </row>
    <row r="58" spans="1:5" x14ac:dyDescent="0.2">
      <c r="A58" s="135">
        <v>39845</v>
      </c>
      <c r="B58" s="135"/>
      <c r="C58" s="60">
        <f t="shared" si="11"/>
        <v>153603.36685602751</v>
      </c>
    </row>
    <row r="59" spans="1:5" x14ac:dyDescent="0.2">
      <c r="A59" s="135">
        <v>39873</v>
      </c>
      <c r="B59" s="135"/>
      <c r="C59" s="60">
        <f t="shared" si="11"/>
        <v>165718.88650203694</v>
      </c>
    </row>
    <row r="60" spans="1:5" x14ac:dyDescent="0.2">
      <c r="A60" s="135">
        <v>39904</v>
      </c>
      <c r="B60" s="135"/>
      <c r="C60" s="60">
        <f t="shared" si="11"/>
        <v>177834.40614804637</v>
      </c>
    </row>
    <row r="61" spans="1:5" x14ac:dyDescent="0.2">
      <c r="A61" s="135">
        <v>39934</v>
      </c>
      <c r="B61" s="135"/>
      <c r="C61" s="60">
        <f t="shared" si="11"/>
        <v>189949.9257940558</v>
      </c>
    </row>
    <row r="62" spans="1:5" x14ac:dyDescent="0.2">
      <c r="A62" s="135">
        <v>39965</v>
      </c>
      <c r="B62" s="135"/>
      <c r="C62" s="60">
        <f t="shared" si="11"/>
        <v>202065.44544006523</v>
      </c>
    </row>
    <row r="63" spans="1:5" x14ac:dyDescent="0.2">
      <c r="A63" s="135">
        <v>39995</v>
      </c>
      <c r="B63" s="135"/>
      <c r="C63" s="60">
        <f t="shared" si="11"/>
        <v>214180.96508607466</v>
      </c>
    </row>
    <row r="64" spans="1:5" x14ac:dyDescent="0.2">
      <c r="A64" s="135">
        <v>40026</v>
      </c>
      <c r="B64" s="135"/>
      <c r="C64" s="60">
        <f t="shared" si="11"/>
        <v>226296.48473208409</v>
      </c>
    </row>
    <row r="65" spans="1:5" x14ac:dyDescent="0.2">
      <c r="A65" s="135">
        <v>40057</v>
      </c>
      <c r="B65" s="135"/>
      <c r="C65" s="60">
        <f t="shared" si="11"/>
        <v>238412.00437809352</v>
      </c>
    </row>
    <row r="66" spans="1:5" x14ac:dyDescent="0.2">
      <c r="A66" s="135">
        <v>40087</v>
      </c>
      <c r="B66" s="135"/>
      <c r="C66" s="60">
        <f t="shared" si="11"/>
        <v>250527.52402410295</v>
      </c>
    </row>
    <row r="67" spans="1:5" x14ac:dyDescent="0.2">
      <c r="A67" s="135">
        <v>40118</v>
      </c>
      <c r="B67" s="135"/>
      <c r="C67" s="60">
        <f t="shared" si="11"/>
        <v>262643.04367011238</v>
      </c>
    </row>
    <row r="68" spans="1:5" x14ac:dyDescent="0.2">
      <c r="A68" s="135">
        <v>40148</v>
      </c>
      <c r="B68" s="135"/>
      <c r="C68" s="60">
        <f t="shared" si="11"/>
        <v>274758.56331612181</v>
      </c>
      <c r="D68" s="60">
        <f>SUM(C57:C68)</f>
        <v>2497478.4631568389</v>
      </c>
      <c r="E68" s="60">
        <f>C68*12</f>
        <v>3297102.7597934618</v>
      </c>
    </row>
    <row r="69" spans="1:5" x14ac:dyDescent="0.2">
      <c r="A69" s="135">
        <v>40179</v>
      </c>
      <c r="B69" s="135"/>
      <c r="C69" s="60">
        <f t="shared" ref="C69:C80" si="12">C68+$E$7</f>
        <v>268563.05416063953</v>
      </c>
    </row>
    <row r="70" spans="1:5" x14ac:dyDescent="0.2">
      <c r="A70" s="135">
        <v>40210</v>
      </c>
      <c r="B70" s="135"/>
      <c r="C70" s="60">
        <f t="shared" si="12"/>
        <v>262367.54500515724</v>
      </c>
    </row>
    <row r="71" spans="1:5" x14ac:dyDescent="0.2">
      <c r="A71" s="135">
        <v>40238</v>
      </c>
      <c r="B71" s="135"/>
      <c r="C71" s="60">
        <f t="shared" si="12"/>
        <v>256172.03584967495</v>
      </c>
    </row>
    <row r="72" spans="1:5" x14ac:dyDescent="0.2">
      <c r="A72" s="135">
        <v>40269</v>
      </c>
      <c r="B72" s="135"/>
      <c r="C72" s="60">
        <f t="shared" si="12"/>
        <v>249976.52669419267</v>
      </c>
    </row>
    <row r="73" spans="1:5" x14ac:dyDescent="0.2">
      <c r="A73" s="135">
        <v>40299</v>
      </c>
      <c r="B73" s="135"/>
      <c r="C73" s="60">
        <f t="shared" si="12"/>
        <v>243781.01753871038</v>
      </c>
    </row>
    <row r="74" spans="1:5" x14ac:dyDescent="0.2">
      <c r="A74" s="135">
        <v>40330</v>
      </c>
      <c r="B74" s="135"/>
      <c r="C74" s="60">
        <f t="shared" si="12"/>
        <v>237585.50838322809</v>
      </c>
    </row>
    <row r="75" spans="1:5" x14ac:dyDescent="0.2">
      <c r="A75" s="135">
        <v>40360</v>
      </c>
      <c r="B75" s="135"/>
      <c r="C75" s="60">
        <f t="shared" si="12"/>
        <v>231389.99922774581</v>
      </c>
    </row>
    <row r="76" spans="1:5" x14ac:dyDescent="0.2">
      <c r="A76" s="135">
        <v>40391</v>
      </c>
      <c r="B76" s="135"/>
      <c r="C76" s="60">
        <f t="shared" si="12"/>
        <v>225194.49007226352</v>
      </c>
    </row>
    <row r="77" spans="1:5" x14ac:dyDescent="0.2">
      <c r="A77" s="135">
        <v>40422</v>
      </c>
      <c r="B77" s="135"/>
      <c r="C77" s="60">
        <f t="shared" si="12"/>
        <v>218998.98091678123</v>
      </c>
    </row>
    <row r="78" spans="1:5" x14ac:dyDescent="0.2">
      <c r="A78" s="135">
        <v>40452</v>
      </c>
      <c r="B78" s="135"/>
      <c r="C78" s="60">
        <f t="shared" si="12"/>
        <v>212803.47176129895</v>
      </c>
    </row>
    <row r="79" spans="1:5" x14ac:dyDescent="0.2">
      <c r="A79" s="135">
        <v>40483</v>
      </c>
      <c r="B79" s="135"/>
      <c r="C79" s="60">
        <f t="shared" si="12"/>
        <v>206607.96260581666</v>
      </c>
    </row>
    <row r="80" spans="1:5" x14ac:dyDescent="0.2">
      <c r="A80" s="135">
        <v>40513</v>
      </c>
      <c r="B80" s="135"/>
      <c r="C80" s="60">
        <f t="shared" si="12"/>
        <v>200412.45345033437</v>
      </c>
      <c r="D80" s="60">
        <f>SUM(C69:C80)</f>
        <v>2813853.0456658434</v>
      </c>
      <c r="E80" s="60">
        <f>C80*12</f>
        <v>2404949.4414040125</v>
      </c>
    </row>
    <row r="81" spans="1:5" x14ac:dyDescent="0.2">
      <c r="A81" s="135">
        <v>40544</v>
      </c>
      <c r="B81" s="135"/>
      <c r="C81" s="60">
        <f t="shared" ref="C81:C92" si="13">C80+$E$8</f>
        <v>210571.19426364722</v>
      </c>
    </row>
    <row r="82" spans="1:5" x14ac:dyDescent="0.2">
      <c r="A82" s="135">
        <v>40575</v>
      </c>
      <c r="B82" s="135"/>
      <c r="C82" s="60">
        <f t="shared" si="13"/>
        <v>220729.93507696007</v>
      </c>
    </row>
    <row r="83" spans="1:5" x14ac:dyDescent="0.2">
      <c r="A83" s="135">
        <v>40603</v>
      </c>
      <c r="B83" s="135"/>
      <c r="C83" s="60">
        <f t="shared" si="13"/>
        <v>230888.67589027292</v>
      </c>
    </row>
    <row r="84" spans="1:5" x14ac:dyDescent="0.2">
      <c r="A84" s="135">
        <v>40634</v>
      </c>
      <c r="B84" s="135"/>
      <c r="C84" s="60">
        <f t="shared" si="13"/>
        <v>241047.41670358577</v>
      </c>
    </row>
    <row r="85" spans="1:5" x14ac:dyDescent="0.2">
      <c r="A85" s="135">
        <v>40664</v>
      </c>
      <c r="B85" s="135"/>
      <c r="C85" s="60">
        <f t="shared" si="13"/>
        <v>251206.15751689862</v>
      </c>
    </row>
    <row r="86" spans="1:5" x14ac:dyDescent="0.2">
      <c r="A86" s="135">
        <v>40695</v>
      </c>
      <c r="B86" s="135"/>
      <c r="C86" s="60">
        <f t="shared" si="13"/>
        <v>261364.89833021146</v>
      </c>
    </row>
    <row r="87" spans="1:5" x14ac:dyDescent="0.2">
      <c r="A87" s="135">
        <v>40725</v>
      </c>
      <c r="B87" s="135"/>
      <c r="C87" s="60">
        <f t="shared" si="13"/>
        <v>271523.63914352434</v>
      </c>
    </row>
    <row r="88" spans="1:5" x14ac:dyDescent="0.2">
      <c r="A88" s="135">
        <v>40756</v>
      </c>
      <c r="B88" s="135"/>
      <c r="C88" s="60">
        <f t="shared" si="13"/>
        <v>281682.37995683722</v>
      </c>
    </row>
    <row r="89" spans="1:5" x14ac:dyDescent="0.2">
      <c r="A89" s="135">
        <v>40787</v>
      </c>
      <c r="B89" s="135"/>
      <c r="C89" s="60">
        <f t="shared" si="13"/>
        <v>291841.1207701501</v>
      </c>
    </row>
    <row r="90" spans="1:5" x14ac:dyDescent="0.2">
      <c r="A90" s="135">
        <v>40817</v>
      </c>
      <c r="B90" s="135"/>
      <c r="C90" s="60">
        <f t="shared" si="13"/>
        <v>301999.86158346297</v>
      </c>
    </row>
    <row r="91" spans="1:5" x14ac:dyDescent="0.2">
      <c r="A91" s="135">
        <v>40848</v>
      </c>
      <c r="B91" s="135"/>
      <c r="C91" s="60">
        <f t="shared" si="13"/>
        <v>312158.60239677585</v>
      </c>
    </row>
    <row r="92" spans="1:5" x14ac:dyDescent="0.2">
      <c r="A92" s="135">
        <v>40878</v>
      </c>
      <c r="B92" s="135"/>
      <c r="C92" s="60">
        <f t="shared" si="13"/>
        <v>322317.34321008873</v>
      </c>
      <c r="D92" s="60">
        <f>SUM(C81:C92)</f>
        <v>3197331.2248424157</v>
      </c>
      <c r="E92" s="60">
        <f>C92*12</f>
        <v>3867808.1185210645</v>
      </c>
    </row>
    <row r="93" spans="1:5" x14ac:dyDescent="0.2">
      <c r="A93" s="135">
        <v>40909</v>
      </c>
      <c r="B93" s="135"/>
      <c r="C93" s="60">
        <f t="shared" ref="C93:C104" si="14">C92+$E$9</f>
        <v>323926.13275312429</v>
      </c>
    </row>
    <row r="94" spans="1:5" x14ac:dyDescent="0.2">
      <c r="A94" s="135">
        <v>40940</v>
      </c>
      <c r="B94" s="135"/>
      <c r="C94" s="60">
        <f t="shared" si="14"/>
        <v>325534.92229615984</v>
      </c>
    </row>
    <row r="95" spans="1:5" x14ac:dyDescent="0.2">
      <c r="A95" s="135">
        <v>40969</v>
      </c>
      <c r="B95" s="135"/>
      <c r="C95" s="60">
        <f t="shared" si="14"/>
        <v>327143.7118391954</v>
      </c>
    </row>
    <row r="96" spans="1:5" x14ac:dyDescent="0.2">
      <c r="A96" s="135">
        <v>41000</v>
      </c>
      <c r="B96" s="135"/>
      <c r="C96" s="60">
        <f t="shared" si="14"/>
        <v>328752.50138223096</v>
      </c>
    </row>
    <row r="97" spans="1:5" x14ac:dyDescent="0.2">
      <c r="A97" s="135">
        <v>41030</v>
      </c>
      <c r="B97" s="135"/>
      <c r="C97" s="60">
        <f t="shared" si="14"/>
        <v>330361.29092526651</v>
      </c>
    </row>
    <row r="98" spans="1:5" x14ac:dyDescent="0.2">
      <c r="A98" s="135">
        <v>41061</v>
      </c>
      <c r="B98" s="135"/>
      <c r="C98" s="60">
        <f t="shared" si="14"/>
        <v>331970.08046830207</v>
      </c>
    </row>
    <row r="99" spans="1:5" x14ac:dyDescent="0.2">
      <c r="A99" s="135">
        <v>41091</v>
      </c>
      <c r="B99" s="135"/>
      <c r="C99" s="60">
        <f t="shared" si="14"/>
        <v>333578.87001133763</v>
      </c>
    </row>
    <row r="100" spans="1:5" x14ac:dyDescent="0.2">
      <c r="A100" s="135">
        <v>41122</v>
      </c>
      <c r="B100" s="135"/>
      <c r="C100" s="60">
        <f t="shared" si="14"/>
        <v>335187.65955437318</v>
      </c>
    </row>
    <row r="101" spans="1:5" x14ac:dyDescent="0.2">
      <c r="A101" s="135">
        <v>41153</v>
      </c>
      <c r="B101" s="135"/>
      <c r="C101" s="60">
        <f t="shared" si="14"/>
        <v>336796.44909740874</v>
      </c>
    </row>
    <row r="102" spans="1:5" x14ac:dyDescent="0.2">
      <c r="A102" s="135">
        <v>41183</v>
      </c>
      <c r="B102" s="135"/>
      <c r="C102" s="60">
        <f t="shared" si="14"/>
        <v>338405.2386404443</v>
      </c>
    </row>
    <row r="103" spans="1:5" x14ac:dyDescent="0.2">
      <c r="A103" s="135">
        <v>41214</v>
      </c>
      <c r="B103" s="135"/>
      <c r="C103" s="60">
        <f t="shared" si="14"/>
        <v>340014.02818347985</v>
      </c>
    </row>
    <row r="104" spans="1:5" x14ac:dyDescent="0.2">
      <c r="A104" s="135">
        <v>41244</v>
      </c>
      <c r="B104" s="135"/>
      <c r="C104" s="60">
        <f t="shared" si="14"/>
        <v>341622.81772651541</v>
      </c>
      <c r="D104" s="60">
        <f>SUM(C93:C104)</f>
        <v>3993293.7028778382</v>
      </c>
      <c r="E104" s="60">
        <f>C104*12</f>
        <v>4099473.8127181847</v>
      </c>
    </row>
    <row r="105" spans="1:5" x14ac:dyDescent="0.2">
      <c r="A105" s="135">
        <v>41275</v>
      </c>
      <c r="B105" s="135"/>
      <c r="C105" s="60">
        <f>C104+$E$10</f>
        <v>351951.10870257241</v>
      </c>
    </row>
    <row r="106" spans="1:5" x14ac:dyDescent="0.2">
      <c r="A106" s="135">
        <v>41306</v>
      </c>
      <c r="B106" s="135"/>
      <c r="C106" s="60">
        <f t="shared" ref="C106:C116" si="15">C105+$E$10</f>
        <v>362279.39967862942</v>
      </c>
    </row>
    <row r="107" spans="1:5" x14ac:dyDescent="0.2">
      <c r="A107" s="135">
        <v>41334</v>
      </c>
      <c r="B107" s="135"/>
      <c r="C107" s="60">
        <f t="shared" si="15"/>
        <v>372607.69065468642</v>
      </c>
    </row>
    <row r="108" spans="1:5" x14ac:dyDescent="0.2">
      <c r="A108" s="135">
        <v>41365</v>
      </c>
      <c r="B108" s="135"/>
      <c r="C108" s="60">
        <f t="shared" si="15"/>
        <v>382935.98163074342</v>
      </c>
    </row>
    <row r="109" spans="1:5" x14ac:dyDescent="0.2">
      <c r="A109" s="135">
        <v>41395</v>
      </c>
      <c r="B109" s="135"/>
      <c r="C109" s="60">
        <f t="shared" si="15"/>
        <v>393264.27260680043</v>
      </c>
    </row>
    <row r="110" spans="1:5" x14ac:dyDescent="0.2">
      <c r="A110" s="135">
        <v>41426</v>
      </c>
      <c r="B110" s="135"/>
      <c r="C110" s="60">
        <f t="shared" si="15"/>
        <v>403592.56358285743</v>
      </c>
    </row>
    <row r="111" spans="1:5" x14ac:dyDescent="0.2">
      <c r="A111" s="135">
        <v>41456</v>
      </c>
      <c r="B111" s="135"/>
      <c r="C111" s="60">
        <f t="shared" si="15"/>
        <v>413920.85455891443</v>
      </c>
    </row>
    <row r="112" spans="1:5" x14ac:dyDescent="0.2">
      <c r="A112" s="135">
        <v>41487</v>
      </c>
      <c r="B112" s="135"/>
      <c r="C112" s="60">
        <f t="shared" si="15"/>
        <v>424249.14553497144</v>
      </c>
    </row>
    <row r="113" spans="1:5" x14ac:dyDescent="0.2">
      <c r="A113" s="135">
        <v>41518</v>
      </c>
      <c r="B113" s="135"/>
      <c r="C113" s="60">
        <f t="shared" si="15"/>
        <v>434577.43651102844</v>
      </c>
    </row>
    <row r="114" spans="1:5" x14ac:dyDescent="0.2">
      <c r="A114" s="135">
        <v>41548</v>
      </c>
      <c r="B114" s="135"/>
      <c r="C114" s="60">
        <f t="shared" si="15"/>
        <v>444905.72748708545</v>
      </c>
    </row>
    <row r="115" spans="1:5" x14ac:dyDescent="0.2">
      <c r="A115" s="135">
        <v>41579</v>
      </c>
      <c r="B115" s="135"/>
      <c r="C115" s="60">
        <f t="shared" si="15"/>
        <v>455234.01846314245</v>
      </c>
    </row>
    <row r="116" spans="1:5" x14ac:dyDescent="0.2">
      <c r="A116" s="135">
        <v>41609</v>
      </c>
      <c r="B116" s="135"/>
      <c r="C116" s="60">
        <f t="shared" si="15"/>
        <v>465562.30943919945</v>
      </c>
      <c r="D116" s="60">
        <f>SUM(C105:C116)</f>
        <v>4905080.5088506313</v>
      </c>
      <c r="E116" s="60">
        <f>C116*12</f>
        <v>5586747.7132703932</v>
      </c>
    </row>
    <row r="117" spans="1:5" x14ac:dyDescent="0.2">
      <c r="A117" s="135">
        <v>41640</v>
      </c>
      <c r="C117" s="122">
        <f>C116+$E$11</f>
        <v>461504.63502921211</v>
      </c>
    </row>
    <row r="118" spans="1:5" x14ac:dyDescent="0.2">
      <c r="A118" s="135">
        <v>41671</v>
      </c>
      <c r="C118" s="122">
        <f t="shared" ref="C118:C128" si="16">C117+$E$11</f>
        <v>457446.96061922476</v>
      </c>
    </row>
    <row r="119" spans="1:5" x14ac:dyDescent="0.2">
      <c r="A119" s="135">
        <v>41699</v>
      </c>
      <c r="C119" s="122">
        <f t="shared" si="16"/>
        <v>453389.28620923741</v>
      </c>
    </row>
    <row r="120" spans="1:5" x14ac:dyDescent="0.2">
      <c r="A120" s="135">
        <v>41730</v>
      </c>
      <c r="C120" s="122">
        <f t="shared" si="16"/>
        <v>449331.61179925007</v>
      </c>
    </row>
    <row r="121" spans="1:5" x14ac:dyDescent="0.2">
      <c r="A121" s="135">
        <v>41760</v>
      </c>
      <c r="C121" s="122">
        <f t="shared" si="16"/>
        <v>445273.93738926272</v>
      </c>
    </row>
    <row r="122" spans="1:5" x14ac:dyDescent="0.2">
      <c r="A122" s="135">
        <v>41791</v>
      </c>
      <c r="C122" s="122">
        <f t="shared" si="16"/>
        <v>441216.26297927537</v>
      </c>
    </row>
    <row r="123" spans="1:5" x14ac:dyDescent="0.2">
      <c r="A123" s="135">
        <v>41821</v>
      </c>
      <c r="C123" s="122">
        <f t="shared" si="16"/>
        <v>437158.58856928803</v>
      </c>
    </row>
    <row r="124" spans="1:5" x14ac:dyDescent="0.2">
      <c r="A124" s="135">
        <v>41852</v>
      </c>
      <c r="C124" s="122">
        <f t="shared" si="16"/>
        <v>433100.91415930068</v>
      </c>
    </row>
    <row r="125" spans="1:5" x14ac:dyDescent="0.2">
      <c r="A125" s="135">
        <v>41883</v>
      </c>
      <c r="C125" s="122">
        <f t="shared" si="16"/>
        <v>429043.23974931333</v>
      </c>
    </row>
    <row r="126" spans="1:5" x14ac:dyDescent="0.2">
      <c r="A126" s="135">
        <v>41913</v>
      </c>
      <c r="C126" s="122">
        <f t="shared" si="16"/>
        <v>424985.56533932599</v>
      </c>
    </row>
    <row r="127" spans="1:5" x14ac:dyDescent="0.2">
      <c r="A127" s="135">
        <v>41944</v>
      </c>
      <c r="C127" s="122">
        <f t="shared" si="16"/>
        <v>420927.89092933864</v>
      </c>
    </row>
    <row r="128" spans="1:5" x14ac:dyDescent="0.2">
      <c r="A128" s="135">
        <v>41974</v>
      </c>
      <c r="C128" s="122">
        <f t="shared" si="16"/>
        <v>416870.21651935129</v>
      </c>
      <c r="D128" s="60">
        <f>SUM(C117:C128)</f>
        <v>5270249.1092913803</v>
      </c>
      <c r="E128" s="60">
        <f>C128*12</f>
        <v>5002442.5982322153</v>
      </c>
    </row>
    <row r="129" spans="1:5" x14ac:dyDescent="0.2">
      <c r="A129" s="135">
        <v>42005</v>
      </c>
      <c r="C129" s="122">
        <f>C128+$E$12</f>
        <v>425342.71821790445</v>
      </c>
    </row>
    <row r="130" spans="1:5" x14ac:dyDescent="0.2">
      <c r="A130" s="135">
        <v>42036</v>
      </c>
      <c r="C130" s="122">
        <f t="shared" ref="C130:C140" si="17">C129+$E$12</f>
        <v>433815.2199164576</v>
      </c>
    </row>
    <row r="131" spans="1:5" x14ac:dyDescent="0.2">
      <c r="A131" s="135">
        <v>42064</v>
      </c>
      <c r="C131" s="122">
        <f t="shared" si="17"/>
        <v>442287.72161501076</v>
      </c>
    </row>
    <row r="132" spans="1:5" x14ac:dyDescent="0.2">
      <c r="A132" s="135">
        <v>42095</v>
      </c>
      <c r="C132" s="122">
        <f t="shared" si="17"/>
        <v>450760.22331356391</v>
      </c>
    </row>
    <row r="133" spans="1:5" x14ac:dyDescent="0.2">
      <c r="A133" s="135">
        <v>42125</v>
      </c>
      <c r="C133" s="122">
        <f t="shared" si="17"/>
        <v>459232.72501211707</v>
      </c>
    </row>
    <row r="134" spans="1:5" x14ac:dyDescent="0.2">
      <c r="A134" s="135">
        <v>42156</v>
      </c>
      <c r="C134" s="122">
        <f t="shared" si="17"/>
        <v>467705.22671067022</v>
      </c>
    </row>
    <row r="135" spans="1:5" x14ac:dyDescent="0.2">
      <c r="A135" s="135">
        <v>42186</v>
      </c>
      <c r="C135" s="122">
        <f t="shared" si="17"/>
        <v>476177.72840922337</v>
      </c>
    </row>
    <row r="136" spans="1:5" x14ac:dyDescent="0.2">
      <c r="A136" s="135">
        <v>42217</v>
      </c>
      <c r="C136" s="122">
        <f t="shared" si="17"/>
        <v>484650.23010777653</v>
      </c>
    </row>
    <row r="137" spans="1:5" x14ac:dyDescent="0.2">
      <c r="A137" s="135">
        <v>42248</v>
      </c>
      <c r="C137" s="122">
        <f t="shared" si="17"/>
        <v>493122.73180632968</v>
      </c>
    </row>
    <row r="138" spans="1:5" x14ac:dyDescent="0.2">
      <c r="A138" s="135">
        <v>42278</v>
      </c>
      <c r="C138" s="122">
        <f t="shared" si="17"/>
        <v>501595.23350488284</v>
      </c>
    </row>
    <row r="139" spans="1:5" x14ac:dyDescent="0.2">
      <c r="A139" s="135">
        <v>42309</v>
      </c>
      <c r="C139" s="122">
        <f t="shared" si="17"/>
        <v>510067.73520343599</v>
      </c>
    </row>
    <row r="140" spans="1:5" x14ac:dyDescent="0.2">
      <c r="A140" s="135">
        <v>42339</v>
      </c>
      <c r="C140" s="122">
        <f t="shared" si="17"/>
        <v>518540.23690198915</v>
      </c>
      <c r="D140" s="60">
        <f>SUM(C129:C140)</f>
        <v>5663297.7307193615</v>
      </c>
      <c r="E140" s="60">
        <f>C140*12</f>
        <v>6222482.8428238695</v>
      </c>
    </row>
    <row r="141" spans="1:5" x14ac:dyDescent="0.2">
      <c r="A141" s="135">
        <v>42370</v>
      </c>
      <c r="C141" s="122">
        <f>C140+$E$13</f>
        <v>509844.64212260727</v>
      </c>
    </row>
    <row r="142" spans="1:5" x14ac:dyDescent="0.2">
      <c r="A142" s="135">
        <v>42401</v>
      </c>
      <c r="C142" s="122">
        <f t="shared" ref="C142:C152" si="18">C141+$E$13</f>
        <v>501149.04734322539</v>
      </c>
    </row>
    <row r="143" spans="1:5" x14ac:dyDescent="0.2">
      <c r="A143" s="135">
        <v>42430</v>
      </c>
      <c r="C143" s="122">
        <f t="shared" si="18"/>
        <v>492453.45256384352</v>
      </c>
    </row>
    <row r="144" spans="1:5" x14ac:dyDescent="0.2">
      <c r="A144" s="135">
        <v>42461</v>
      </c>
      <c r="C144" s="122">
        <f t="shared" si="18"/>
        <v>483757.85778446164</v>
      </c>
    </row>
    <row r="145" spans="1:5" x14ac:dyDescent="0.2">
      <c r="A145" s="135">
        <v>42491</v>
      </c>
      <c r="C145" s="122">
        <f t="shared" si="18"/>
        <v>475062.26300507976</v>
      </c>
    </row>
    <row r="146" spans="1:5" x14ac:dyDescent="0.2">
      <c r="A146" s="135">
        <v>42522</v>
      </c>
      <c r="C146" s="122">
        <f t="shared" si="18"/>
        <v>466366.66822569788</v>
      </c>
    </row>
    <row r="147" spans="1:5" x14ac:dyDescent="0.2">
      <c r="A147" s="135">
        <v>42552</v>
      </c>
      <c r="C147" s="122">
        <f t="shared" si="18"/>
        <v>457671.073446316</v>
      </c>
    </row>
    <row r="148" spans="1:5" x14ac:dyDescent="0.2">
      <c r="A148" s="135">
        <v>42583</v>
      </c>
      <c r="C148" s="122">
        <f t="shared" si="18"/>
        <v>448975.47866693413</v>
      </c>
    </row>
    <row r="149" spans="1:5" x14ac:dyDescent="0.2">
      <c r="A149" s="135">
        <v>42614</v>
      </c>
      <c r="C149" s="122">
        <f t="shared" si="18"/>
        <v>440279.88388755225</v>
      </c>
    </row>
    <row r="150" spans="1:5" x14ac:dyDescent="0.2">
      <c r="A150" s="135">
        <v>42644</v>
      </c>
      <c r="C150" s="122">
        <f t="shared" si="18"/>
        <v>431584.28910817037</v>
      </c>
    </row>
    <row r="151" spans="1:5" x14ac:dyDescent="0.2">
      <c r="A151" s="135">
        <v>42675</v>
      </c>
      <c r="C151" s="122">
        <f t="shared" si="18"/>
        <v>422888.69432878849</v>
      </c>
    </row>
    <row r="152" spans="1:5" x14ac:dyDescent="0.2">
      <c r="A152" s="135">
        <v>42705</v>
      </c>
      <c r="C152" s="122">
        <f t="shared" si="18"/>
        <v>414193.09954940662</v>
      </c>
      <c r="D152" s="60">
        <f>SUM(C141:C152)</f>
        <v>5544226.4500320833</v>
      </c>
      <c r="E152" s="60">
        <f>C152*12</f>
        <v>4970317.1945928792</v>
      </c>
    </row>
    <row r="153" spans="1:5" x14ac:dyDescent="0.2">
      <c r="A153" s="135"/>
      <c r="C153" s="122">
        <f>SUM(C21:C152)</f>
        <v>37129184.039159603</v>
      </c>
    </row>
    <row r="154" spans="1:5" x14ac:dyDescent="0.2">
      <c r="A154" s="135"/>
      <c r="C154" s="122">
        <f>C153-C16</f>
        <v>37129184.039159603</v>
      </c>
    </row>
    <row r="158" spans="1:5" x14ac:dyDescent="0.2">
      <c r="A158" s="135"/>
    </row>
  </sheetData>
  <mergeCells count="7">
    <mergeCell ref="M11:U11"/>
    <mergeCell ref="M17:U17"/>
    <mergeCell ref="N1:P1"/>
    <mergeCell ref="G2:H2"/>
    <mergeCell ref="N2:P2"/>
    <mergeCell ref="N4:R4"/>
    <mergeCell ref="S6:U10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opLeftCell="G20" workbookViewId="0">
      <selection activeCell="U28" sqref="U28:U39"/>
    </sheetView>
  </sheetViews>
  <sheetFormatPr defaultRowHeight="12.75" x14ac:dyDescent="0.2"/>
  <cols>
    <col min="3" max="3" width="9.28515625" style="46" customWidth="1"/>
    <col min="4" max="4" width="9.5703125" style="46" customWidth="1"/>
    <col min="23" max="23" width="9.85546875" bestFit="1" customWidth="1"/>
    <col min="24" max="24" width="11" bestFit="1" customWidth="1"/>
  </cols>
  <sheetData>
    <row r="1" spans="1:24" x14ac:dyDescent="0.2">
      <c r="A1" s="14" t="s">
        <v>70</v>
      </c>
    </row>
    <row r="2" spans="1:24" x14ac:dyDescent="0.2">
      <c r="A2" s="47"/>
    </row>
    <row r="3" spans="1:24" x14ac:dyDescent="0.2">
      <c r="A3" s="48" t="s">
        <v>71</v>
      </c>
      <c r="B3" s="48"/>
      <c r="C3" s="49"/>
      <c r="D3" s="49"/>
    </row>
    <row r="4" spans="1:24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24" x14ac:dyDescent="0.2">
      <c r="A5" s="52" t="s">
        <v>72</v>
      </c>
      <c r="B5" s="57">
        <f t="shared" ref="B5:U5" si="0">B25</f>
        <v>1995</v>
      </c>
      <c r="C5" s="52">
        <f t="shared" si="0"/>
        <v>1996</v>
      </c>
      <c r="D5" s="52">
        <f t="shared" si="0"/>
        <v>1997</v>
      </c>
      <c r="E5" s="52">
        <f t="shared" si="0"/>
        <v>1998</v>
      </c>
      <c r="F5" s="52">
        <f t="shared" si="0"/>
        <v>1999</v>
      </c>
      <c r="G5" s="57">
        <f t="shared" si="0"/>
        <v>2000</v>
      </c>
      <c r="H5" s="52">
        <f t="shared" si="0"/>
        <v>2001</v>
      </c>
      <c r="I5" s="52">
        <f t="shared" si="0"/>
        <v>2002</v>
      </c>
      <c r="J5" s="52">
        <f t="shared" si="0"/>
        <v>2003</v>
      </c>
      <c r="K5" s="52">
        <f t="shared" si="0"/>
        <v>2004</v>
      </c>
      <c r="L5" s="52">
        <f t="shared" si="0"/>
        <v>2005</v>
      </c>
      <c r="M5" s="52">
        <f t="shared" si="0"/>
        <v>2006</v>
      </c>
      <c r="N5" s="52">
        <f t="shared" si="0"/>
        <v>2007</v>
      </c>
      <c r="O5" s="52">
        <f t="shared" si="0"/>
        <v>2008</v>
      </c>
      <c r="P5" s="52">
        <f t="shared" si="0"/>
        <v>2009</v>
      </c>
      <c r="Q5" s="52">
        <f t="shared" si="0"/>
        <v>2010</v>
      </c>
      <c r="R5" s="52">
        <v>2011</v>
      </c>
      <c r="S5" s="52">
        <f t="shared" si="0"/>
        <v>2012</v>
      </c>
      <c r="T5" s="52">
        <f t="shared" si="0"/>
        <v>2013</v>
      </c>
      <c r="U5" s="52">
        <f t="shared" si="0"/>
        <v>2014</v>
      </c>
      <c r="V5" s="52">
        <f t="shared" ref="V5" si="1">V25</f>
        <v>2015</v>
      </c>
      <c r="W5" s="53" t="s">
        <v>73</v>
      </c>
      <c r="X5" s="53" t="s">
        <v>74</v>
      </c>
    </row>
    <row r="6" spans="1:24" x14ac:dyDescent="0.2">
      <c r="A6" s="50"/>
      <c r="B6" s="50"/>
      <c r="C6" s="49"/>
      <c r="D6" s="49"/>
    </row>
    <row r="7" spans="1:24" x14ac:dyDescent="0.2">
      <c r="A7" s="54"/>
      <c r="B7" s="54"/>
      <c r="C7" s="49"/>
      <c r="D7" s="49"/>
      <c r="E7" s="49"/>
      <c r="F7" s="49"/>
    </row>
    <row r="8" spans="1:24" x14ac:dyDescent="0.2">
      <c r="A8" s="54" t="s">
        <v>75</v>
      </c>
      <c r="B8" s="55">
        <v>629.70000000000005</v>
      </c>
      <c r="C8" s="55">
        <v>693</v>
      </c>
      <c r="D8" s="55">
        <v>712.9</v>
      </c>
      <c r="E8" s="55">
        <v>552.20000000000005</v>
      </c>
      <c r="F8" s="55">
        <v>718.9</v>
      </c>
      <c r="G8" s="55">
        <v>679.9</v>
      </c>
      <c r="H8" s="55">
        <v>657.6</v>
      </c>
      <c r="I8" s="55">
        <v>545.29999999999995</v>
      </c>
      <c r="J8" s="55">
        <v>759.2</v>
      </c>
      <c r="K8" s="55">
        <v>762.9</v>
      </c>
      <c r="L8" s="55">
        <v>700.4</v>
      </c>
      <c r="M8" s="55">
        <v>494.7</v>
      </c>
      <c r="N8" s="55">
        <v>602.4</v>
      </c>
      <c r="O8" s="55">
        <v>611.20000000000005</v>
      </c>
      <c r="P8" s="55">
        <v>799.1</v>
      </c>
      <c r="Q8" s="55">
        <v>679.7</v>
      </c>
      <c r="R8" s="55">
        <v>730.9</v>
      </c>
      <c r="S8" s="55">
        <v>586.79999999999995</v>
      </c>
      <c r="T8" s="55">
        <v>613.5</v>
      </c>
      <c r="U8" s="55">
        <v>784.99999999999977</v>
      </c>
      <c r="V8" s="55">
        <v>752.2</v>
      </c>
      <c r="W8" s="67">
        <f>AVERAGE(M8:V8)</f>
        <v>665.55</v>
      </c>
      <c r="X8" s="68">
        <f>TREND(C8:V8,$C$5:$V$5,2017)</f>
        <v>694.90729323308278</v>
      </c>
    </row>
    <row r="9" spans="1:24" x14ac:dyDescent="0.2">
      <c r="A9" s="54" t="s">
        <v>76</v>
      </c>
      <c r="B9" s="55">
        <v>633</v>
      </c>
      <c r="C9" s="55">
        <v>627</v>
      </c>
      <c r="D9" s="55">
        <v>531.29999999999995</v>
      </c>
      <c r="E9" s="55">
        <v>443.2</v>
      </c>
      <c r="F9" s="55">
        <v>500.4</v>
      </c>
      <c r="G9" s="55">
        <v>533.9</v>
      </c>
      <c r="H9" s="55">
        <v>544.29999999999995</v>
      </c>
      <c r="I9" s="55">
        <v>494.8</v>
      </c>
      <c r="J9" s="55">
        <v>656.2</v>
      </c>
      <c r="K9" s="55">
        <v>579.4</v>
      </c>
      <c r="L9" s="55">
        <v>572</v>
      </c>
      <c r="M9" s="55">
        <v>538</v>
      </c>
      <c r="N9" s="55">
        <v>706.1</v>
      </c>
      <c r="O9" s="55">
        <v>629.29999999999995</v>
      </c>
      <c r="P9" s="55">
        <v>552.9</v>
      </c>
      <c r="Q9" s="55">
        <v>570.9</v>
      </c>
      <c r="R9" s="55">
        <v>614.6</v>
      </c>
      <c r="S9" s="55">
        <v>507.1</v>
      </c>
      <c r="T9" s="55">
        <v>590.79999999999995</v>
      </c>
      <c r="U9" s="55">
        <v>674.19999999999982</v>
      </c>
      <c r="V9" s="55">
        <v>811.10000000000014</v>
      </c>
      <c r="W9" s="67">
        <f t="shared" ref="W9:W19" si="2">AVERAGE(M9:V9)</f>
        <v>619.5</v>
      </c>
      <c r="X9" s="68">
        <f t="shared" ref="X9:X19" si="3">TREND(C9:V9,$C$5:$V$5,2017)</f>
        <v>670.11375939849677</v>
      </c>
    </row>
    <row r="10" spans="1:24" x14ac:dyDescent="0.2">
      <c r="A10" s="54" t="s">
        <v>77</v>
      </c>
      <c r="B10" s="55">
        <v>463.2</v>
      </c>
      <c r="C10" s="55">
        <v>599</v>
      </c>
      <c r="D10" s="55">
        <v>487.3</v>
      </c>
      <c r="E10" s="55">
        <v>440</v>
      </c>
      <c r="F10" s="55">
        <v>517.20000000000005</v>
      </c>
      <c r="G10" s="55">
        <v>367.7</v>
      </c>
      <c r="H10" s="55">
        <v>518.9</v>
      </c>
      <c r="I10" s="55">
        <v>513.9</v>
      </c>
      <c r="J10" s="55">
        <v>524.1</v>
      </c>
      <c r="K10" s="55">
        <v>429.3</v>
      </c>
      <c r="L10" s="55">
        <v>545.29999999999995</v>
      </c>
      <c r="M10" s="55">
        <v>461.4</v>
      </c>
      <c r="N10" s="55">
        <v>429.3</v>
      </c>
      <c r="O10" s="55">
        <v>541.6</v>
      </c>
      <c r="P10" s="55">
        <v>463.8</v>
      </c>
      <c r="Q10" s="55">
        <v>397.1</v>
      </c>
      <c r="R10" s="55">
        <v>520.1</v>
      </c>
      <c r="S10" s="55">
        <v>267.8</v>
      </c>
      <c r="T10" s="55">
        <v>524.20000000000016</v>
      </c>
      <c r="U10" s="55">
        <v>591.90000000000009</v>
      </c>
      <c r="V10" s="55">
        <v>565.29999999999995</v>
      </c>
      <c r="W10" s="67">
        <f t="shared" si="2"/>
        <v>476.25000000000011</v>
      </c>
      <c r="X10" s="68">
        <f t="shared" si="3"/>
        <v>480.00112781954886</v>
      </c>
    </row>
    <row r="11" spans="1:24" x14ac:dyDescent="0.2">
      <c r="A11" s="54" t="s">
        <v>78</v>
      </c>
      <c r="B11" s="55">
        <v>346.7</v>
      </c>
      <c r="C11" s="55">
        <v>337.8</v>
      </c>
      <c r="D11" s="55">
        <v>322.7</v>
      </c>
      <c r="E11" s="55">
        <v>249.1</v>
      </c>
      <c r="F11" s="55">
        <v>243.9</v>
      </c>
      <c r="G11" s="55">
        <v>293.60000000000002</v>
      </c>
      <c r="H11" s="55">
        <v>245.3</v>
      </c>
      <c r="I11" s="55">
        <v>273.3</v>
      </c>
      <c r="J11" s="55">
        <v>303.3</v>
      </c>
      <c r="K11" s="55">
        <v>251.7</v>
      </c>
      <c r="L11" s="55">
        <v>242.5</v>
      </c>
      <c r="M11" s="55">
        <v>219.5</v>
      </c>
      <c r="N11" s="55">
        <v>285.2</v>
      </c>
      <c r="O11" s="55">
        <v>223.8</v>
      </c>
      <c r="P11" s="55">
        <v>263.39999999999998</v>
      </c>
      <c r="Q11" s="55">
        <v>183.4</v>
      </c>
      <c r="R11" s="55">
        <v>293.8</v>
      </c>
      <c r="S11" s="55">
        <v>264.39999999999998</v>
      </c>
      <c r="T11" s="55">
        <v>318.29999999999995</v>
      </c>
      <c r="U11" s="55">
        <v>253.7</v>
      </c>
      <c r="V11" s="55">
        <v>283.2</v>
      </c>
      <c r="W11" s="67">
        <f t="shared" si="2"/>
        <v>258.87</v>
      </c>
      <c r="X11" s="68">
        <f t="shared" si="3"/>
        <v>251.59789473684214</v>
      </c>
    </row>
    <row r="12" spans="1:24" x14ac:dyDescent="0.2">
      <c r="A12" s="54" t="s">
        <v>79</v>
      </c>
      <c r="B12" s="55">
        <v>109.6</v>
      </c>
      <c r="C12" s="55">
        <v>167</v>
      </c>
      <c r="D12" s="55">
        <v>220.5</v>
      </c>
      <c r="E12" s="55">
        <v>42.2</v>
      </c>
      <c r="F12" s="55">
        <v>65.8</v>
      </c>
      <c r="G12" s="55">
        <v>85.1</v>
      </c>
      <c r="H12" s="55">
        <v>82.9</v>
      </c>
      <c r="I12" s="55">
        <v>185.1</v>
      </c>
      <c r="J12" s="55">
        <v>147.6</v>
      </c>
      <c r="K12" s="55">
        <v>101.6</v>
      </c>
      <c r="L12" s="55">
        <v>143.4</v>
      </c>
      <c r="M12" s="55">
        <v>105.9</v>
      </c>
      <c r="N12" s="55">
        <v>87.2</v>
      </c>
      <c r="O12" s="55">
        <v>143.4</v>
      </c>
      <c r="P12" s="55">
        <v>75.8</v>
      </c>
      <c r="Q12" s="55">
        <v>91.9</v>
      </c>
      <c r="R12" s="55">
        <v>112.3</v>
      </c>
      <c r="S12" s="55">
        <v>50.400000000000006</v>
      </c>
      <c r="T12" s="55">
        <v>83.3</v>
      </c>
      <c r="U12" s="55">
        <v>90.600000000000009</v>
      </c>
      <c r="V12" s="55">
        <v>79.599999999999994</v>
      </c>
      <c r="W12" s="67">
        <f t="shared" si="2"/>
        <v>92.039999999999992</v>
      </c>
      <c r="X12" s="68">
        <f t="shared" si="3"/>
        <v>74.01924812030029</v>
      </c>
    </row>
    <row r="13" spans="1:24" x14ac:dyDescent="0.2">
      <c r="A13" s="54" t="s">
        <v>80</v>
      </c>
      <c r="B13" s="55">
        <v>12.6</v>
      </c>
      <c r="C13" s="55">
        <v>4.5</v>
      </c>
      <c r="D13" s="55">
        <v>18.100000000000001</v>
      </c>
      <c r="E13" s="55">
        <v>41.5</v>
      </c>
      <c r="F13" s="55">
        <v>19.100000000000001</v>
      </c>
      <c r="G13" s="55">
        <v>18</v>
      </c>
      <c r="H13" s="55">
        <v>24.9</v>
      </c>
      <c r="I13" s="55">
        <v>16.5</v>
      </c>
      <c r="J13" s="55">
        <v>30.3</v>
      </c>
      <c r="K13" s="55">
        <v>21.4</v>
      </c>
      <c r="L13" s="55">
        <v>4.4000000000000004</v>
      </c>
      <c r="M13" s="55">
        <v>8.8000000000000007</v>
      </c>
      <c r="N13" s="55">
        <v>8.1</v>
      </c>
      <c r="O13" s="55">
        <v>3.2</v>
      </c>
      <c r="P13" s="55">
        <v>25.3</v>
      </c>
      <c r="Q13" s="55">
        <v>5.7</v>
      </c>
      <c r="R13" s="55">
        <v>10.1</v>
      </c>
      <c r="S13" s="55">
        <v>11.9</v>
      </c>
      <c r="T13" s="55">
        <v>18.200000000000003</v>
      </c>
      <c r="U13" s="55">
        <v>2.4000000000000004</v>
      </c>
      <c r="V13" s="55">
        <v>18.899999999999999</v>
      </c>
      <c r="W13" s="67">
        <f t="shared" si="2"/>
        <v>11.260000000000002</v>
      </c>
      <c r="X13" s="68">
        <f t="shared" si="3"/>
        <v>8.6001503759400748</v>
      </c>
    </row>
    <row r="14" spans="1:24" x14ac:dyDescent="0.2">
      <c r="A14" s="54" t="s">
        <v>81</v>
      </c>
      <c r="B14" s="55">
        <v>1</v>
      </c>
      <c r="C14" s="55">
        <v>1.3</v>
      </c>
      <c r="D14" s="55">
        <v>2.1</v>
      </c>
      <c r="E14" s="55">
        <v>0</v>
      </c>
      <c r="F14" s="55">
        <v>0</v>
      </c>
      <c r="G14" s="55">
        <v>0.9</v>
      </c>
      <c r="H14" s="55">
        <v>3.2</v>
      </c>
      <c r="I14" s="55">
        <v>0</v>
      </c>
      <c r="J14" s="55">
        <v>0</v>
      </c>
      <c r="K14" s="55">
        <v>2.2000000000000002</v>
      </c>
      <c r="L14" s="55">
        <v>0</v>
      </c>
      <c r="M14" s="55">
        <v>0</v>
      </c>
      <c r="N14" s="55">
        <v>1.3</v>
      </c>
      <c r="O14" s="55">
        <v>0.3</v>
      </c>
      <c r="P14" s="55">
        <v>1.4</v>
      </c>
      <c r="Q14" s="55">
        <v>0.1</v>
      </c>
      <c r="R14" s="55">
        <v>0</v>
      </c>
      <c r="S14" s="55">
        <v>0</v>
      </c>
      <c r="T14" s="55">
        <v>2.6</v>
      </c>
      <c r="U14" s="55">
        <v>0.7</v>
      </c>
      <c r="V14" s="55">
        <v>2.9000000000000004</v>
      </c>
      <c r="W14" s="67">
        <f t="shared" si="2"/>
        <v>0.93</v>
      </c>
      <c r="X14" s="68">
        <f t="shared" si="3"/>
        <v>1.0918045112781947</v>
      </c>
    </row>
    <row r="15" spans="1:24" x14ac:dyDescent="0.2">
      <c r="A15" s="54" t="s">
        <v>82</v>
      </c>
      <c r="B15" s="55">
        <v>0</v>
      </c>
      <c r="C15" s="55">
        <v>0</v>
      </c>
      <c r="D15" s="55">
        <v>6.3</v>
      </c>
      <c r="E15" s="55">
        <v>1.2</v>
      </c>
      <c r="F15" s="55">
        <v>1.2</v>
      </c>
      <c r="G15" s="55">
        <v>7.7</v>
      </c>
      <c r="H15" s="55">
        <v>0</v>
      </c>
      <c r="I15" s="55">
        <v>0</v>
      </c>
      <c r="J15" s="55">
        <v>0</v>
      </c>
      <c r="K15" s="55">
        <v>6.1</v>
      </c>
      <c r="L15" s="55">
        <v>0.1</v>
      </c>
      <c r="M15" s="55">
        <v>0</v>
      </c>
      <c r="N15" s="55">
        <v>4.4000000000000004</v>
      </c>
      <c r="O15" s="55">
        <v>0.9</v>
      </c>
      <c r="P15" s="55">
        <v>6.7</v>
      </c>
      <c r="Q15" s="55">
        <v>0</v>
      </c>
      <c r="R15" s="55">
        <v>0</v>
      </c>
      <c r="S15" s="55">
        <v>0.6</v>
      </c>
      <c r="T15" s="55">
        <v>3.9000000000000004</v>
      </c>
      <c r="U15" s="55">
        <v>0.7</v>
      </c>
      <c r="V15" s="55">
        <v>8.5</v>
      </c>
      <c r="W15" s="67">
        <f t="shared" si="2"/>
        <v>2.57</v>
      </c>
      <c r="X15" s="68">
        <f t="shared" si="3"/>
        <v>2.9381203007518906</v>
      </c>
    </row>
    <row r="16" spans="1:24" x14ac:dyDescent="0.2">
      <c r="A16" s="54" t="s">
        <v>83</v>
      </c>
      <c r="B16" s="55">
        <v>78.5</v>
      </c>
      <c r="C16" s="55">
        <v>53</v>
      </c>
      <c r="D16" s="55">
        <v>50.5</v>
      </c>
      <c r="E16" s="55">
        <v>17.7</v>
      </c>
      <c r="F16" s="55">
        <v>37.1</v>
      </c>
      <c r="G16" s="55">
        <v>76.400000000000006</v>
      </c>
      <c r="H16" s="55">
        <v>69.900000000000006</v>
      </c>
      <c r="I16" s="55">
        <v>17.100000000000001</v>
      </c>
      <c r="J16" s="55">
        <v>50.3</v>
      </c>
      <c r="K16" s="55">
        <v>23</v>
      </c>
      <c r="L16" s="55">
        <v>15.3</v>
      </c>
      <c r="M16" s="55">
        <v>52.1</v>
      </c>
      <c r="N16" s="55">
        <v>25.4</v>
      </c>
      <c r="O16" s="55">
        <v>12.2</v>
      </c>
      <c r="P16" s="55">
        <v>28</v>
      </c>
      <c r="Q16" s="55">
        <v>42.9</v>
      </c>
      <c r="R16" s="55">
        <v>59.3</v>
      </c>
      <c r="S16" s="55">
        <v>59.600000000000009</v>
      </c>
      <c r="T16" s="55">
        <v>53.699999999999996</v>
      </c>
      <c r="U16" s="55">
        <v>57.20000000000001</v>
      </c>
      <c r="V16" s="55">
        <v>23.099999999999998</v>
      </c>
      <c r="W16" s="67">
        <f t="shared" si="2"/>
        <v>41.35</v>
      </c>
      <c r="X16" s="68">
        <f t="shared" si="3"/>
        <v>40.126466165413547</v>
      </c>
    </row>
    <row r="17" spans="1:24" x14ac:dyDescent="0.2">
      <c r="A17" s="54" t="s">
        <v>84</v>
      </c>
      <c r="B17" s="55">
        <v>178.5</v>
      </c>
      <c r="C17" s="55">
        <v>207.4</v>
      </c>
      <c r="D17" s="55">
        <v>229.5</v>
      </c>
      <c r="E17" s="55">
        <v>181.3</v>
      </c>
      <c r="F17" s="55">
        <v>221.4</v>
      </c>
      <c r="G17" s="55">
        <v>158.4</v>
      </c>
      <c r="H17" s="55">
        <v>202.7</v>
      </c>
      <c r="I17" s="55">
        <v>255.9</v>
      </c>
      <c r="J17" s="55">
        <v>225.6</v>
      </c>
      <c r="K17" s="55">
        <v>190.9</v>
      </c>
      <c r="L17" s="55">
        <v>182.8</v>
      </c>
      <c r="M17" s="55">
        <v>251.3</v>
      </c>
      <c r="N17" s="55">
        <v>111.2</v>
      </c>
      <c r="O17" s="55">
        <v>220.7</v>
      </c>
      <c r="P17" s="55">
        <v>247.6</v>
      </c>
      <c r="Q17" s="55">
        <v>165.7</v>
      </c>
      <c r="R17" s="55">
        <v>189.5</v>
      </c>
      <c r="S17" s="55">
        <v>205.90000000000006</v>
      </c>
      <c r="T17" s="55">
        <v>187.09999999999997</v>
      </c>
      <c r="U17" s="55">
        <v>179.7</v>
      </c>
      <c r="V17" s="55">
        <v>194.50000000000003</v>
      </c>
      <c r="W17" s="67">
        <f t="shared" si="2"/>
        <v>195.32</v>
      </c>
      <c r="X17" s="68">
        <f t="shared" si="3"/>
        <v>187.91481203007515</v>
      </c>
    </row>
    <row r="18" spans="1:24" x14ac:dyDescent="0.2">
      <c r="A18" s="54" t="s">
        <v>85</v>
      </c>
      <c r="B18" s="55">
        <v>488.4</v>
      </c>
      <c r="C18" s="55">
        <v>489.1</v>
      </c>
      <c r="D18" s="55">
        <v>450.2</v>
      </c>
      <c r="E18" s="55">
        <v>336.9</v>
      </c>
      <c r="F18" s="55">
        <v>324.3</v>
      </c>
      <c r="G18" s="55">
        <v>401.3</v>
      </c>
      <c r="H18" s="55">
        <v>279.89999999999998</v>
      </c>
      <c r="I18" s="55">
        <v>417.5</v>
      </c>
      <c r="J18" s="55">
        <v>338.8</v>
      </c>
      <c r="K18" s="55">
        <v>354</v>
      </c>
      <c r="L18" s="55">
        <v>346.2</v>
      </c>
      <c r="M18" s="55">
        <v>356.8</v>
      </c>
      <c r="N18" s="55">
        <v>400.3</v>
      </c>
      <c r="O18" s="55">
        <v>413.4</v>
      </c>
      <c r="P18" s="55">
        <v>320.5</v>
      </c>
      <c r="Q18" s="55">
        <v>377.7</v>
      </c>
      <c r="R18" s="55">
        <v>315.10000000000002</v>
      </c>
      <c r="S18" s="55">
        <v>407.2</v>
      </c>
      <c r="T18" s="55">
        <v>442.7</v>
      </c>
      <c r="U18" s="55">
        <v>442</v>
      </c>
      <c r="V18" s="55">
        <v>325.2</v>
      </c>
      <c r="W18" s="67">
        <f t="shared" si="2"/>
        <v>380.09</v>
      </c>
      <c r="X18" s="68">
        <f t="shared" si="3"/>
        <v>369.92270676691737</v>
      </c>
    </row>
    <row r="19" spans="1:24" x14ac:dyDescent="0.2">
      <c r="A19" s="54" t="s">
        <v>86</v>
      </c>
      <c r="B19" s="55">
        <v>663.6</v>
      </c>
      <c r="C19" s="55">
        <v>564.4</v>
      </c>
      <c r="D19" s="55">
        <v>555.5</v>
      </c>
      <c r="E19" s="55">
        <v>495.7</v>
      </c>
      <c r="F19" s="55">
        <v>558.4</v>
      </c>
      <c r="G19" s="55">
        <v>771.2</v>
      </c>
      <c r="H19" s="55">
        <v>491.6</v>
      </c>
      <c r="I19" s="55">
        <v>610.4</v>
      </c>
      <c r="J19" s="55">
        <v>541.79999999999995</v>
      </c>
      <c r="K19" s="55">
        <v>593.5</v>
      </c>
      <c r="L19" s="55">
        <v>659.7</v>
      </c>
      <c r="M19" s="55">
        <v>460.4</v>
      </c>
      <c r="N19" s="55">
        <v>595</v>
      </c>
      <c r="O19" s="55">
        <v>632</v>
      </c>
      <c r="P19" s="55">
        <v>603.4</v>
      </c>
      <c r="Q19" s="55">
        <v>664.3</v>
      </c>
      <c r="R19" s="55">
        <v>495.6</v>
      </c>
      <c r="S19" s="55">
        <v>495.99999999999994</v>
      </c>
      <c r="T19" s="55">
        <v>635.79999999999995</v>
      </c>
      <c r="U19" s="55">
        <v>463.40000000000003</v>
      </c>
      <c r="V19" s="55">
        <v>417.30000000000007</v>
      </c>
      <c r="W19" s="67">
        <f t="shared" si="2"/>
        <v>546.31999999999994</v>
      </c>
      <c r="X19" s="68">
        <f t="shared" si="3"/>
        <v>527.74022556390901</v>
      </c>
    </row>
    <row r="20" spans="1:24" x14ac:dyDescent="0.2">
      <c r="A20" s="54"/>
      <c r="B20" s="54"/>
    </row>
    <row r="21" spans="1:24" x14ac:dyDescent="0.2">
      <c r="A21" s="54" t="s">
        <v>11</v>
      </c>
      <c r="B21" s="55">
        <f t="shared" ref="B21:S21" si="4">SUM(B8:B20)</f>
        <v>3604.7999999999997</v>
      </c>
      <c r="C21" s="55">
        <f t="shared" si="4"/>
        <v>3743.5000000000005</v>
      </c>
      <c r="D21" s="55">
        <f t="shared" si="4"/>
        <v>3586.8999999999996</v>
      </c>
      <c r="E21" s="55">
        <f t="shared" si="4"/>
        <v>2801</v>
      </c>
      <c r="F21" s="55">
        <f t="shared" si="4"/>
        <v>3207.7000000000003</v>
      </c>
      <c r="G21" s="55">
        <f t="shared" si="4"/>
        <v>3394.1000000000004</v>
      </c>
      <c r="H21" s="55">
        <f t="shared" si="4"/>
        <v>3121.2</v>
      </c>
      <c r="I21" s="55">
        <f t="shared" si="4"/>
        <v>3329.7999999999997</v>
      </c>
      <c r="J21" s="55">
        <f t="shared" si="4"/>
        <v>3577.2000000000007</v>
      </c>
      <c r="K21" s="55">
        <f t="shared" si="4"/>
        <v>3316</v>
      </c>
      <c r="L21" s="55">
        <f t="shared" si="4"/>
        <v>3412.1000000000004</v>
      </c>
      <c r="M21" s="55">
        <f t="shared" si="4"/>
        <v>2948.9</v>
      </c>
      <c r="N21" s="55">
        <f t="shared" si="4"/>
        <v>3255.9</v>
      </c>
      <c r="O21" s="55">
        <f t="shared" si="4"/>
        <v>3431.9999999999995</v>
      </c>
      <c r="P21" s="55">
        <f t="shared" si="4"/>
        <v>3387.9</v>
      </c>
      <c r="Q21" s="55">
        <f t="shared" si="4"/>
        <v>3179.3999999999996</v>
      </c>
      <c r="R21" s="55">
        <f t="shared" si="4"/>
        <v>3341.3</v>
      </c>
      <c r="S21" s="55">
        <f t="shared" si="4"/>
        <v>2857.7</v>
      </c>
      <c r="T21" s="55">
        <f t="shared" ref="T21:X21" si="5">SUM(T8:T20)</f>
        <v>3474.0999999999995</v>
      </c>
      <c r="U21" s="55">
        <f t="shared" si="5"/>
        <v>3541.4999999999986</v>
      </c>
      <c r="V21" s="55">
        <f t="shared" ref="V21" si="6">SUM(V8:V20)</f>
        <v>3481.8</v>
      </c>
      <c r="W21" s="55">
        <f t="shared" si="5"/>
        <v>3290.05</v>
      </c>
      <c r="X21" s="55">
        <f t="shared" si="5"/>
        <v>3308.973609022556</v>
      </c>
    </row>
    <row r="22" spans="1:24" x14ac:dyDescent="0.2">
      <c r="A22" s="48"/>
      <c r="B22" s="48"/>
      <c r="C22" s="49"/>
      <c r="D22" s="49"/>
    </row>
    <row r="23" spans="1:24" x14ac:dyDescent="0.2">
      <c r="A23" s="48" t="s">
        <v>87</v>
      </c>
      <c r="B23" s="48"/>
      <c r="C23" s="49"/>
      <c r="D23" s="49"/>
    </row>
    <row r="24" spans="1:24" x14ac:dyDescent="0.2">
      <c r="A24" s="50"/>
      <c r="B24" s="50"/>
      <c r="C24" s="51"/>
      <c r="D24" s="51"/>
    </row>
    <row r="25" spans="1:24" x14ac:dyDescent="0.2">
      <c r="A25" s="52" t="s">
        <v>72</v>
      </c>
      <c r="B25" s="52">
        <v>1995</v>
      </c>
      <c r="C25" s="52">
        <v>1996</v>
      </c>
      <c r="D25" s="52">
        <v>1997</v>
      </c>
      <c r="E25" s="52">
        <v>1998</v>
      </c>
      <c r="F25" s="52">
        <v>1999</v>
      </c>
      <c r="G25" s="52">
        <v>2000</v>
      </c>
      <c r="H25" s="52">
        <v>2001</v>
      </c>
      <c r="I25" s="52">
        <v>2002</v>
      </c>
      <c r="J25" s="52">
        <v>2003</v>
      </c>
      <c r="K25" s="52">
        <v>2004</v>
      </c>
      <c r="L25" s="52">
        <v>2005</v>
      </c>
      <c r="M25" s="52">
        <v>2006</v>
      </c>
      <c r="N25" s="52">
        <v>2007</v>
      </c>
      <c r="O25" s="52">
        <v>2008</v>
      </c>
      <c r="P25" s="52">
        <v>2009</v>
      </c>
      <c r="Q25" s="52">
        <v>2010</v>
      </c>
      <c r="R25" s="52">
        <f>R5</f>
        <v>2011</v>
      </c>
      <c r="S25" s="52">
        <v>2012</v>
      </c>
      <c r="T25" s="52">
        <v>2013</v>
      </c>
      <c r="U25" s="52">
        <v>2014</v>
      </c>
      <c r="V25" s="52">
        <v>2015</v>
      </c>
      <c r="W25" s="53" t="s">
        <v>73</v>
      </c>
      <c r="X25" s="53" t="s">
        <v>74</v>
      </c>
    </row>
    <row r="26" spans="1:24" x14ac:dyDescent="0.2">
      <c r="A26" s="50"/>
      <c r="B26" s="50"/>
      <c r="C26" s="49"/>
      <c r="D26" s="49"/>
      <c r="W26" s="56"/>
      <c r="X26" s="56"/>
    </row>
    <row r="27" spans="1:24" x14ac:dyDescent="0.2">
      <c r="C27" s="49"/>
      <c r="D27" s="49"/>
      <c r="W27" s="56"/>
      <c r="X27" s="56"/>
    </row>
    <row r="28" spans="1:24" x14ac:dyDescent="0.2">
      <c r="A28" s="54" t="s">
        <v>75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67">
        <f>AVERAGE(M28:V28)</f>
        <v>0</v>
      </c>
      <c r="X28" s="68">
        <f>TREND(C28:V28,$C$5:$V$5,2017)</f>
        <v>0</v>
      </c>
    </row>
    <row r="29" spans="1:24" x14ac:dyDescent="0.2">
      <c r="A29" s="54" t="s">
        <v>76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67">
        <f t="shared" ref="W29:W39" si="7">AVERAGE(M29:V29)</f>
        <v>0</v>
      </c>
      <c r="X29" s="68">
        <f t="shared" ref="X29:X39" si="8">TREND(C29:V29,$C$5:$V$5,2017)</f>
        <v>0</v>
      </c>
    </row>
    <row r="30" spans="1:24" x14ac:dyDescent="0.2">
      <c r="A30" s="54" t="s">
        <v>77</v>
      </c>
      <c r="B30" s="55">
        <v>0</v>
      </c>
      <c r="C30" s="55">
        <v>0</v>
      </c>
      <c r="D30" s="55">
        <v>0</v>
      </c>
      <c r="E30" s="55">
        <v>5.9</v>
      </c>
      <c r="F30" s="55">
        <v>0</v>
      </c>
      <c r="G30" s="55">
        <v>0.5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0.2</v>
      </c>
      <c r="O30" s="55">
        <v>0</v>
      </c>
      <c r="P30" s="55">
        <v>0</v>
      </c>
      <c r="Q30" s="55">
        <v>0</v>
      </c>
      <c r="R30" s="55">
        <v>0</v>
      </c>
      <c r="S30" s="55">
        <v>5.9</v>
      </c>
      <c r="T30" s="55">
        <v>0</v>
      </c>
      <c r="U30" s="55">
        <v>0</v>
      </c>
      <c r="V30" s="55">
        <v>0</v>
      </c>
      <c r="W30" s="67">
        <f t="shared" si="7"/>
        <v>0.6100000000000001</v>
      </c>
      <c r="X30" s="68">
        <f t="shared" si="8"/>
        <v>0.4806015037593987</v>
      </c>
    </row>
    <row r="31" spans="1:24" x14ac:dyDescent="0.2">
      <c r="A31" s="54" t="s">
        <v>78</v>
      </c>
      <c r="B31" s="55">
        <v>0</v>
      </c>
      <c r="C31" s="55">
        <v>0.1</v>
      </c>
      <c r="D31" s="55">
        <v>0</v>
      </c>
      <c r="E31" s="55">
        <v>0</v>
      </c>
      <c r="F31" s="55">
        <v>0</v>
      </c>
      <c r="G31" s="55">
        <v>0</v>
      </c>
      <c r="H31" s="55">
        <v>0.4</v>
      </c>
      <c r="I31" s="55">
        <v>15.1</v>
      </c>
      <c r="J31" s="55">
        <v>2.7</v>
      </c>
      <c r="K31" s="55">
        <v>4.4000000000000004</v>
      </c>
      <c r="L31" s="55">
        <v>1.4</v>
      </c>
      <c r="M31" s="55">
        <v>1.1000000000000001</v>
      </c>
      <c r="N31" s="55">
        <v>0.9</v>
      </c>
      <c r="O31" s="55">
        <v>1.3</v>
      </c>
      <c r="P31" s="55">
        <v>11.1</v>
      </c>
      <c r="Q31" s="55">
        <v>1.4</v>
      </c>
      <c r="R31" s="55">
        <v>0</v>
      </c>
      <c r="S31" s="55">
        <v>0.9</v>
      </c>
      <c r="T31" s="55">
        <v>0</v>
      </c>
      <c r="U31" s="55">
        <v>0</v>
      </c>
      <c r="V31" s="55">
        <v>0</v>
      </c>
      <c r="W31" s="67">
        <f t="shared" si="7"/>
        <v>1.67</v>
      </c>
      <c r="X31" s="68">
        <f t="shared" si="8"/>
        <v>1.8065413533834587</v>
      </c>
    </row>
    <row r="32" spans="1:24" x14ac:dyDescent="0.2">
      <c r="A32" s="54" t="s">
        <v>79</v>
      </c>
      <c r="B32" s="55">
        <v>5.8</v>
      </c>
      <c r="C32" s="55">
        <v>21</v>
      </c>
      <c r="D32" s="55">
        <v>0</v>
      </c>
      <c r="E32" s="55">
        <v>54.3</v>
      </c>
      <c r="F32" s="55">
        <v>26.1</v>
      </c>
      <c r="G32" s="55">
        <v>38.6</v>
      </c>
      <c r="H32" s="55">
        <v>20.399999999999999</v>
      </c>
      <c r="I32" s="55">
        <v>12.5</v>
      </c>
      <c r="J32" s="55">
        <v>0.2</v>
      </c>
      <c r="K32" s="55">
        <v>28.1</v>
      </c>
      <c r="L32" s="55">
        <v>5.7</v>
      </c>
      <c r="M32" s="55">
        <v>40.6</v>
      </c>
      <c r="N32" s="55">
        <v>46</v>
      </c>
      <c r="O32" s="55">
        <v>11.6</v>
      </c>
      <c r="P32" s="55">
        <v>14.8</v>
      </c>
      <c r="Q32" s="55">
        <v>49.9</v>
      </c>
      <c r="R32" s="55">
        <v>33.4</v>
      </c>
      <c r="S32" s="55">
        <v>51.699999999999996</v>
      </c>
      <c r="T32" s="55">
        <v>51.2</v>
      </c>
      <c r="U32" s="55">
        <v>36.4</v>
      </c>
      <c r="V32" s="55">
        <v>41.1</v>
      </c>
      <c r="W32" s="67">
        <f t="shared" si="7"/>
        <v>37.67</v>
      </c>
      <c r="X32" s="68">
        <f t="shared" si="8"/>
        <v>43.507443609022175</v>
      </c>
    </row>
    <row r="33" spans="1:24" x14ac:dyDescent="0.2">
      <c r="A33" s="54" t="s">
        <v>80</v>
      </c>
      <c r="B33" s="55">
        <v>102</v>
      </c>
      <c r="C33" s="55">
        <v>99.3</v>
      </c>
      <c r="D33" s="55">
        <v>93.4</v>
      </c>
      <c r="E33" s="55">
        <v>125.7</v>
      </c>
      <c r="F33" s="55">
        <v>131.9</v>
      </c>
      <c r="G33" s="55">
        <v>98.7</v>
      </c>
      <c r="H33" s="55">
        <v>112.5</v>
      </c>
      <c r="I33" s="55">
        <v>118.3</v>
      </c>
      <c r="J33" s="55">
        <v>64.2</v>
      </c>
      <c r="K33" s="55">
        <v>62</v>
      </c>
      <c r="L33" s="55">
        <v>166.9</v>
      </c>
      <c r="M33" s="55">
        <v>85.7</v>
      </c>
      <c r="N33" s="55">
        <v>132.19999999999999</v>
      </c>
      <c r="O33" s="55">
        <v>123.9</v>
      </c>
      <c r="P33" s="55">
        <v>70.099999999999994</v>
      </c>
      <c r="Q33" s="55">
        <v>124.2</v>
      </c>
      <c r="R33" s="55">
        <v>104.8</v>
      </c>
      <c r="S33" s="55">
        <v>135.30000000000001</v>
      </c>
      <c r="T33" s="55">
        <v>85.7</v>
      </c>
      <c r="U33" s="55">
        <v>123.29999999999997</v>
      </c>
      <c r="V33" s="55">
        <v>63.900000000000006</v>
      </c>
      <c r="W33" s="67">
        <f t="shared" si="7"/>
        <v>104.91000000000001</v>
      </c>
      <c r="X33" s="68">
        <f>TREND(C33:V33,$C$5:$V$5,2017)</f>
        <v>102.14676691729323</v>
      </c>
    </row>
    <row r="34" spans="1:24" x14ac:dyDescent="0.2">
      <c r="A34" s="54" t="s">
        <v>81</v>
      </c>
      <c r="B34" s="55">
        <v>167.9</v>
      </c>
      <c r="C34" s="55">
        <v>106.4</v>
      </c>
      <c r="D34" s="55">
        <v>130.5</v>
      </c>
      <c r="E34" s="55">
        <v>159.9</v>
      </c>
      <c r="F34" s="55">
        <v>227.8</v>
      </c>
      <c r="G34" s="55">
        <v>97.1</v>
      </c>
      <c r="H34" s="55">
        <v>156.1</v>
      </c>
      <c r="I34" s="55">
        <v>201.1</v>
      </c>
      <c r="J34" s="55">
        <v>144.6</v>
      </c>
      <c r="K34" s="55">
        <v>122.4</v>
      </c>
      <c r="L34" s="55">
        <v>194.7</v>
      </c>
      <c r="M34" s="55">
        <v>197.4</v>
      </c>
      <c r="N34" s="55">
        <v>148.19999999999999</v>
      </c>
      <c r="O34" s="55">
        <v>188.6</v>
      </c>
      <c r="P34" s="55">
        <v>88</v>
      </c>
      <c r="Q34" s="55">
        <v>216.2</v>
      </c>
      <c r="R34" s="55">
        <v>242.3</v>
      </c>
      <c r="S34" s="55">
        <v>217.80000000000007</v>
      </c>
      <c r="T34" s="55">
        <v>148.79999999999998</v>
      </c>
      <c r="U34" s="55">
        <v>113.59999999999997</v>
      </c>
      <c r="V34" s="55">
        <v>120.50000000000001</v>
      </c>
      <c r="W34" s="67">
        <f t="shared" si="7"/>
        <v>168.14</v>
      </c>
      <c r="X34" s="68">
        <f t="shared" si="8"/>
        <v>172.60518796992483</v>
      </c>
    </row>
    <row r="35" spans="1:24" x14ac:dyDescent="0.2">
      <c r="A35" s="54" t="s">
        <v>82</v>
      </c>
      <c r="B35" s="55">
        <v>187.4</v>
      </c>
      <c r="C35" s="55">
        <v>135.69999999999999</v>
      </c>
      <c r="D35" s="55">
        <v>65.2</v>
      </c>
      <c r="E35" s="55">
        <v>147.30000000000001</v>
      </c>
      <c r="F35" s="55">
        <v>102.1</v>
      </c>
      <c r="G35" s="55">
        <v>109.9</v>
      </c>
      <c r="H35" s="55">
        <v>162.19999999999999</v>
      </c>
      <c r="I35" s="55">
        <v>149.19999999999999</v>
      </c>
      <c r="J35" s="55">
        <v>143.1</v>
      </c>
      <c r="K35" s="55">
        <v>74.2</v>
      </c>
      <c r="L35" s="55">
        <v>185.5</v>
      </c>
      <c r="M35" s="55">
        <v>147.4</v>
      </c>
      <c r="N35" s="55">
        <v>167.4</v>
      </c>
      <c r="O35" s="55">
        <v>144.80000000000001</v>
      </c>
      <c r="P35" s="55">
        <v>124.3</v>
      </c>
      <c r="Q35" s="55">
        <v>189.3</v>
      </c>
      <c r="R35" s="55">
        <v>144.4</v>
      </c>
      <c r="S35" s="55">
        <v>131.80000000000004</v>
      </c>
      <c r="T35" s="55">
        <v>115.3</v>
      </c>
      <c r="U35" s="55">
        <v>118.09999999999997</v>
      </c>
      <c r="V35" s="55">
        <v>102.79999999999998</v>
      </c>
      <c r="W35" s="67">
        <f t="shared" si="7"/>
        <v>138.56</v>
      </c>
      <c r="X35" s="68">
        <f t="shared" si="8"/>
        <v>140.60383458646606</v>
      </c>
    </row>
    <row r="36" spans="1:24" x14ac:dyDescent="0.2">
      <c r="A36" s="54" t="s">
        <v>83</v>
      </c>
      <c r="B36" s="55">
        <v>27.9</v>
      </c>
      <c r="C36" s="55">
        <v>43.1</v>
      </c>
      <c r="D36" s="55">
        <v>26.3</v>
      </c>
      <c r="E36" s="55">
        <v>82.4</v>
      </c>
      <c r="F36" s="55">
        <v>64.400000000000006</v>
      </c>
      <c r="G36" s="55">
        <v>45.7</v>
      </c>
      <c r="H36" s="55">
        <v>36.200000000000003</v>
      </c>
      <c r="I36" s="55">
        <v>97.9</v>
      </c>
      <c r="J36" s="55">
        <v>37.6</v>
      </c>
      <c r="K36" s="55">
        <v>59.7</v>
      </c>
      <c r="L36" s="55">
        <v>82.2</v>
      </c>
      <c r="M36" s="55">
        <v>22.3</v>
      </c>
      <c r="N36" s="55">
        <v>76.400000000000006</v>
      </c>
      <c r="O36" s="55">
        <v>65</v>
      </c>
      <c r="P36" s="55">
        <v>47.5</v>
      </c>
      <c r="Q36" s="55">
        <v>50</v>
      </c>
      <c r="R36" s="55">
        <v>47.7</v>
      </c>
      <c r="S36" s="55">
        <v>49.1</v>
      </c>
      <c r="T36" s="55">
        <v>46.1</v>
      </c>
      <c r="U36" s="55">
        <v>50.499999999999979</v>
      </c>
      <c r="V36" s="55">
        <v>70.399999999999991</v>
      </c>
      <c r="W36" s="67">
        <f t="shared" si="7"/>
        <v>52.5</v>
      </c>
      <c r="X36" s="68">
        <f t="shared" si="8"/>
        <v>55.952781954887229</v>
      </c>
    </row>
    <row r="37" spans="1:24" x14ac:dyDescent="0.2">
      <c r="A37" s="54" t="s">
        <v>84</v>
      </c>
      <c r="B37" s="55">
        <v>4.7</v>
      </c>
      <c r="C37" s="55">
        <v>0.1</v>
      </c>
      <c r="D37" s="55">
        <v>17.5</v>
      </c>
      <c r="E37" s="55">
        <v>5.2</v>
      </c>
      <c r="F37" s="55">
        <v>0.9</v>
      </c>
      <c r="G37" s="55">
        <v>3.3</v>
      </c>
      <c r="H37" s="55">
        <v>2.9</v>
      </c>
      <c r="I37" s="55">
        <v>12.6</v>
      </c>
      <c r="J37" s="55">
        <v>1</v>
      </c>
      <c r="K37" s="55">
        <v>0.5</v>
      </c>
      <c r="L37" s="55">
        <v>19</v>
      </c>
      <c r="M37" s="55">
        <v>2.2999999999999998</v>
      </c>
      <c r="N37" s="55">
        <v>42.3</v>
      </c>
      <c r="O37" s="55">
        <v>3.3</v>
      </c>
      <c r="P37" s="55">
        <v>0</v>
      </c>
      <c r="Q37" s="55">
        <v>1.3</v>
      </c>
      <c r="R37" s="55">
        <v>4.5999999999999996</v>
      </c>
      <c r="S37" s="55">
        <v>4.0999999999999996</v>
      </c>
      <c r="T37" s="55">
        <v>12.6</v>
      </c>
      <c r="U37" s="55">
        <v>3.9</v>
      </c>
      <c r="V37" s="55">
        <v>1</v>
      </c>
      <c r="W37" s="67">
        <f t="shared" si="7"/>
        <v>7.5399999999999991</v>
      </c>
      <c r="X37" s="68">
        <f t="shared" si="8"/>
        <v>6.6640601503759456</v>
      </c>
    </row>
    <row r="38" spans="1:24" x14ac:dyDescent="0.2">
      <c r="A38" s="54" t="s">
        <v>85</v>
      </c>
      <c r="B38" s="55">
        <v>0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67">
        <f t="shared" si="7"/>
        <v>0</v>
      </c>
      <c r="X38" s="68">
        <f t="shared" si="8"/>
        <v>0</v>
      </c>
    </row>
    <row r="39" spans="1:24" x14ac:dyDescent="0.2">
      <c r="A39" s="54" t="s">
        <v>86</v>
      </c>
      <c r="B39" s="55">
        <v>0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  <c r="W39" s="67">
        <f t="shared" si="7"/>
        <v>0</v>
      </c>
      <c r="X39" s="68">
        <f t="shared" si="8"/>
        <v>0</v>
      </c>
    </row>
    <row r="40" spans="1:24" x14ac:dyDescent="0.2">
      <c r="A40" s="54"/>
      <c r="B40" s="54"/>
      <c r="C40" s="49"/>
      <c r="D40" s="49"/>
      <c r="E40" s="49"/>
      <c r="F40" s="49"/>
    </row>
    <row r="41" spans="1:24" x14ac:dyDescent="0.2">
      <c r="A41" s="54" t="s">
        <v>11</v>
      </c>
      <c r="B41" s="55">
        <f t="shared" ref="B41:S41" si="9">SUM(B28:B40)</f>
        <v>495.7</v>
      </c>
      <c r="C41" s="55">
        <f t="shared" si="9"/>
        <v>405.70000000000005</v>
      </c>
      <c r="D41" s="55">
        <f t="shared" si="9"/>
        <v>332.90000000000003</v>
      </c>
      <c r="E41" s="55">
        <f t="shared" si="9"/>
        <v>580.70000000000005</v>
      </c>
      <c r="F41" s="55">
        <f t="shared" si="9"/>
        <v>553.19999999999993</v>
      </c>
      <c r="G41" s="55">
        <f t="shared" si="9"/>
        <v>393.8</v>
      </c>
      <c r="H41" s="55">
        <f t="shared" si="9"/>
        <v>490.69999999999993</v>
      </c>
      <c r="I41" s="55">
        <f t="shared" si="9"/>
        <v>606.70000000000005</v>
      </c>
      <c r="J41" s="55">
        <f t="shared" si="9"/>
        <v>393.4</v>
      </c>
      <c r="K41" s="55">
        <f t="shared" si="9"/>
        <v>351.3</v>
      </c>
      <c r="L41" s="55">
        <f t="shared" si="9"/>
        <v>655.40000000000009</v>
      </c>
      <c r="M41" s="55">
        <f t="shared" si="9"/>
        <v>496.80000000000007</v>
      </c>
      <c r="N41" s="55">
        <f t="shared" si="9"/>
        <v>613.59999999999991</v>
      </c>
      <c r="O41" s="55">
        <f t="shared" si="9"/>
        <v>538.5</v>
      </c>
      <c r="P41" s="55">
        <f t="shared" si="9"/>
        <v>355.8</v>
      </c>
      <c r="Q41" s="55">
        <f t="shared" si="9"/>
        <v>632.29999999999995</v>
      </c>
      <c r="R41" s="55">
        <f t="shared" si="9"/>
        <v>577.20000000000005</v>
      </c>
      <c r="S41" s="55">
        <f t="shared" si="9"/>
        <v>596.60000000000014</v>
      </c>
      <c r="T41" s="55">
        <f t="shared" ref="T41:X41" si="10">SUM(T28:T40)</f>
        <v>459.70000000000005</v>
      </c>
      <c r="U41" s="55">
        <f t="shared" si="10"/>
        <v>445.7999999999999</v>
      </c>
      <c r="V41" s="55">
        <f>SUM(V28:V40)</f>
        <v>399.69999999999993</v>
      </c>
      <c r="W41" s="55">
        <f t="shared" si="10"/>
        <v>511.6</v>
      </c>
      <c r="X41" s="55">
        <f t="shared" si="10"/>
        <v>523.76721804511226</v>
      </c>
    </row>
    <row r="42" spans="1:24" x14ac:dyDescent="0.2">
      <c r="A42" s="54"/>
      <c r="B42" s="54"/>
      <c r="C42" s="49"/>
      <c r="D42" s="49"/>
      <c r="E42" s="49"/>
      <c r="F42" s="49"/>
    </row>
    <row r="43" spans="1:24" x14ac:dyDescent="0.2">
      <c r="A43" s="54"/>
      <c r="B43" s="54"/>
      <c r="C43" s="49"/>
      <c r="D43" s="49"/>
      <c r="E43" s="49"/>
      <c r="F43" s="49"/>
    </row>
    <row r="44" spans="1:24" x14ac:dyDescent="0.2">
      <c r="A44" s="48"/>
      <c r="B44" s="48"/>
      <c r="C44" s="49"/>
      <c r="D44" s="49"/>
    </row>
  </sheetData>
  <phoneticPr fontId="10" type="noConversion"/>
  <pageMargins left="0.5" right="0.5" top="0.75" bottom="0.75" header="0.5" footer="0.5"/>
  <pageSetup paperSize="5" scale="76" orientation="landscape" r:id="rId1"/>
  <headerFooter alignWithMargins="0">
    <oddFooter>&amp;L&amp;8&amp;D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Exhibit 3 Tables</vt:lpstr>
      <vt:lpstr>Summary</vt:lpstr>
      <vt:lpstr>Purchased Power Model </vt:lpstr>
      <vt:lpstr>Purchased Power Model  WN</vt:lpstr>
      <vt:lpstr>Rate Class Energy Model</vt:lpstr>
      <vt:lpstr>Rate Class Customer Model</vt:lpstr>
      <vt:lpstr>Rate Class Load Model</vt:lpstr>
      <vt:lpstr>CDM Activity</vt:lpstr>
      <vt:lpstr>Weather Analysis</vt:lpstr>
      <vt:lpstr>Loss Factor</vt:lpstr>
      <vt:lpstr>'Rate Class Customer Model'!Print_Area</vt:lpstr>
      <vt:lpstr>'Rate Class Energy Model'!Print_Area</vt:lpstr>
      <vt:lpstr>'Rate Class Load Model'!Print_Area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Lillian Ing</cp:lastModifiedBy>
  <cp:lastPrinted>2016-10-22T13:02:58Z</cp:lastPrinted>
  <dcterms:created xsi:type="dcterms:W3CDTF">2008-02-06T18:24:44Z</dcterms:created>
  <dcterms:modified xsi:type="dcterms:W3CDTF">2016-11-02T19:32:55Z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