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50" yWindow="45" windowWidth="11595" windowHeight="12255" tabRatio="881" firstSheet="2" activeTab="7"/>
  </bookViews>
  <sheets>
    <sheet name="Index" sheetId="1" r:id="rId1"/>
    <sheet name="App.2-AA Capital Projects" sheetId="2" r:id="rId2"/>
    <sheet name="App.2-AB Capital Expenditures" sheetId="3" r:id="rId3"/>
    <sheet name="App.2-BA Fixed Asset Continuity" sheetId="4" r:id="rId4"/>
    <sheet name="App.2-CK MIFRS_DepExp_2016" sheetId="5" r:id="rId5"/>
    <sheet name="App.2-CL MIFRS_DepExp_2017" sheetId="6" r:id="rId6"/>
    <sheet name="App.2-H Other_Oper_Rev" sheetId="7" r:id="rId7"/>
    <sheet name="App.2-I LF_CDM" sheetId="8" r:id="rId8"/>
    <sheet name="App.2-IA_Act_Frcst_Data " sheetId="9" r:id="rId9"/>
    <sheet name="App.2-JA_OM&amp;A_Summary_Analys" sheetId="10" r:id="rId10"/>
    <sheet name="App.2-JB_OM&amp;A_Cost_Drivers" sheetId="11" r:id="rId11"/>
    <sheet name="App.2-JC_OMA Programs" sheetId="12" r:id="rId12"/>
    <sheet name="App.2-L OM&amp;A_per_Cust_FTE" sheetId="13" r:id="rId13"/>
    <sheet name="App.2-OA Capital Structure" sheetId="14" r:id="rId14"/>
    <sheet name="App.2-P_Cost_Allocation" sheetId="15" r:id="rId15"/>
    <sheet name="App.2-PA_Res_Rate_Design" sheetId="16" r:id="rId16"/>
    <sheet name="App.2-R_Loss Factors" sheetId="17" r:id="rId17"/>
    <sheet name="App.2-U_IFRS Transition Costs" sheetId="18" r:id="rId18"/>
    <sheet name="App.2-V_Rev_Reconciliation" sheetId="19" r:id="rId19"/>
  </sheets>
  <calcPr calcId="145621"/>
  <customWorkbookViews>
    <customWorkbookView name="Oana Stefan - Personal View" guid="{FEE3C04B-CD27-4551-A1CF-8272225D231B}" mergeInterval="0" personalView="1" maximized="1" windowWidth="1920" windowHeight="835" tabRatio="881" activeSheetId="8" showComments="commIndAndComment"/>
    <customWorkbookView name="User - Personal View" guid="{957A2981-C0FE-4A89-90AC-F40944F7258F}" mergeInterval="0" personalView="1" maximized="1" windowWidth="1920" windowHeight="829" tabRatio="989" activeSheetId="5"/>
    <customWorkbookView name="Sherry Waterhouse - Personal View" guid="{AE01795C-0F1A-4D22-B411-4CB1D681CFC8}" mergeInterval="0" personalView="1" xWindow="920" yWindow="35" windowWidth="753" windowHeight="775" tabRatio="881" activeSheetId="8"/>
  </customWorkbookViews>
</workbook>
</file>

<file path=xl/calcChain.xml><?xml version="1.0" encoding="utf-8"?>
<calcChain xmlns="http://schemas.openxmlformats.org/spreadsheetml/2006/main">
  <c r="H119" i="8" l="1"/>
  <c r="H117" i="8"/>
  <c r="H122" i="8"/>
  <c r="G119" i="8"/>
  <c r="F119" i="8"/>
  <c r="C114" i="8"/>
  <c r="D114" i="8" s="1"/>
  <c r="E114" i="8" s="1"/>
  <c r="F114" i="8" s="1"/>
  <c r="G114" i="8" s="1"/>
  <c r="E59" i="15" l="1"/>
  <c r="B28" i="15"/>
  <c r="D28" i="15"/>
  <c r="F57" i="6" l="1"/>
  <c r="F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55" i="6" s="1"/>
  <c r="H18" i="6"/>
  <c r="H17" i="6"/>
  <c r="K55" i="5"/>
  <c r="J55" i="5"/>
  <c r="I55" i="5"/>
  <c r="G55" i="5"/>
  <c r="F55" i="5"/>
  <c r="C55" i="5"/>
  <c r="G55" i="6"/>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F57" i="5"/>
  <c r="AU57" i="4"/>
  <c r="C55" i="6"/>
  <c r="H55" i="5" l="1"/>
  <c r="I57" i="14" l="1"/>
  <c r="O57" i="14" s="1"/>
  <c r="E63" i="14"/>
  <c r="K63" i="14" s="1"/>
  <c r="O62" i="14"/>
  <c r="I62" i="14"/>
  <c r="E58" i="14"/>
  <c r="K58" i="14" s="1"/>
  <c r="K65" i="14" s="1"/>
  <c r="I56" i="14"/>
  <c r="I58" i="14" s="1"/>
  <c r="O56" i="14" l="1"/>
  <c r="O58" i="14" s="1"/>
  <c r="I61" i="14"/>
  <c r="I63" i="14" l="1"/>
  <c r="O61" i="14"/>
  <c r="O63" i="14" s="1"/>
  <c r="O65" i="14" s="1"/>
  <c r="O27" i="19" l="1"/>
  <c r="P27" i="19" s="1"/>
  <c r="K27" i="19"/>
  <c r="E27" i="19"/>
  <c r="O26" i="19"/>
  <c r="P26" i="19" s="1"/>
  <c r="K26" i="19"/>
  <c r="E26" i="19"/>
  <c r="O25" i="19"/>
  <c r="P25" i="19" s="1"/>
  <c r="K25" i="19"/>
  <c r="E25" i="19"/>
  <c r="O24" i="19"/>
  <c r="P24" i="19" s="1"/>
  <c r="K24" i="19"/>
  <c r="E24" i="19"/>
  <c r="D23" i="19"/>
  <c r="O22" i="19"/>
  <c r="E22" i="19"/>
  <c r="K22" i="19" s="1"/>
  <c r="P22" i="19" s="1"/>
  <c r="O21" i="19"/>
  <c r="D21" i="19"/>
  <c r="E21" i="19" s="1"/>
  <c r="K21" i="19" s="1"/>
  <c r="O20" i="19"/>
  <c r="D20" i="19"/>
  <c r="O19" i="19"/>
  <c r="D19" i="19"/>
  <c r="E19" i="19" s="1"/>
  <c r="O18" i="19"/>
  <c r="P18" i="19" s="1"/>
  <c r="K18" i="19"/>
  <c r="E18" i="19"/>
  <c r="D17" i="19"/>
  <c r="E17" i="19" s="1"/>
  <c r="K17" i="19" s="1"/>
  <c r="O15" i="19"/>
  <c r="D15" i="19"/>
  <c r="E15" i="19" s="1"/>
  <c r="K19" i="19" l="1"/>
  <c r="K15" i="19"/>
  <c r="P15" i="19" s="1"/>
  <c r="O17" i="19"/>
  <c r="P17" i="19" s="1"/>
  <c r="O23" i="19"/>
  <c r="O16" i="19"/>
  <c r="M29" i="19"/>
  <c r="P19" i="19"/>
  <c r="P21" i="19"/>
  <c r="D16" i="19"/>
  <c r="E16" i="19" s="1"/>
  <c r="K16" i="19" s="1"/>
  <c r="N29" i="19"/>
  <c r="E20" i="19"/>
  <c r="K20" i="19" s="1"/>
  <c r="P20" i="19" s="1"/>
  <c r="E23" i="19"/>
  <c r="K23" i="19" s="1"/>
  <c r="B30" i="16"/>
  <c r="B29" i="16"/>
  <c r="C30" i="16"/>
  <c r="C29" i="16"/>
  <c r="O29" i="19" l="1"/>
  <c r="P23" i="19"/>
  <c r="P16" i="19"/>
  <c r="K29" i="19"/>
  <c r="P29" i="19" s="1"/>
  <c r="D29" i="16"/>
  <c r="D30" i="16"/>
  <c r="D31" i="16" l="1"/>
  <c r="E29" i="16" s="1"/>
  <c r="B43" i="16" s="1"/>
  <c r="B44" i="16" s="1"/>
  <c r="C44" i="16" s="1"/>
  <c r="D44" i="16" s="1"/>
  <c r="E44" i="16" s="1"/>
  <c r="B38" i="16"/>
  <c r="C38" i="16" s="1"/>
  <c r="D38" i="16" s="1"/>
  <c r="C43" i="16"/>
  <c r="D43" i="16" s="1"/>
  <c r="E43" i="16" s="1"/>
  <c r="E45" i="16" s="1"/>
  <c r="E30" i="16"/>
  <c r="B39" i="16" s="1"/>
  <c r="C39" i="16" s="1"/>
  <c r="D39" i="16" s="1"/>
  <c r="C45" i="16" l="1"/>
  <c r="B49" i="16"/>
  <c r="B50" i="16" s="1"/>
  <c r="B40" i="16"/>
  <c r="D40" i="16"/>
  <c r="B48" i="16"/>
  <c r="F59" i="15"/>
  <c r="D49" i="15"/>
  <c r="D81" i="15" s="1"/>
  <c r="E20" i="15"/>
  <c r="E21" i="15"/>
  <c r="E25" i="15"/>
  <c r="E26" i="15"/>
  <c r="E17" i="15"/>
  <c r="E27" i="15"/>
  <c r="E24" i="15"/>
  <c r="E23" i="15"/>
  <c r="E22" i="15"/>
  <c r="E19" i="15"/>
  <c r="E18" i="15"/>
  <c r="E28" i="15" l="1"/>
  <c r="D56" i="15"/>
  <c r="D52" i="15"/>
  <c r="E85" i="15"/>
  <c r="D48" i="15"/>
  <c r="D55" i="15"/>
  <c r="D87" i="15" s="1"/>
  <c r="D51" i="15"/>
  <c r="E80" i="15"/>
  <c r="E86" i="15"/>
  <c r="D58" i="15"/>
  <c r="D90" i="15" s="1"/>
  <c r="D54" i="15"/>
  <c r="D86" i="15" s="1"/>
  <c r="D50" i="15"/>
  <c r="D82" i="15" s="1"/>
  <c r="E81" i="15"/>
  <c r="E87" i="15"/>
  <c r="D57" i="15"/>
  <c r="D53" i="15"/>
  <c r="D85" i="15" s="1"/>
  <c r="E82" i="15"/>
  <c r="E90" i="15"/>
  <c r="H69" i="8"/>
  <c r="H68" i="8"/>
  <c r="H67" i="8"/>
  <c r="H66" i="8"/>
  <c r="H65" i="8"/>
  <c r="H64" i="8"/>
  <c r="F43" i="8"/>
  <c r="F42" i="8"/>
  <c r="F45" i="8"/>
  <c r="F44" i="8"/>
  <c r="D80" i="15" l="1"/>
  <c r="D59" i="15"/>
</calcChain>
</file>

<file path=xl/sharedStrings.xml><?xml version="1.0" encoding="utf-8"?>
<sst xmlns="http://schemas.openxmlformats.org/spreadsheetml/2006/main" count="1896" uniqueCount="778">
  <si>
    <t>File Number:</t>
  </si>
  <si>
    <t>Exhibit:</t>
  </si>
  <si>
    <t>Tab:</t>
  </si>
  <si>
    <t>Schedule:</t>
  </si>
  <si>
    <t>Page:</t>
  </si>
  <si>
    <t>Date:</t>
  </si>
  <si>
    <t>Appendix 2-AA</t>
  </si>
  <si>
    <t>Capital Projects Table</t>
  </si>
  <si>
    <t>Projects</t>
  </si>
  <si>
    <t>2016 Bridge Year</t>
  </si>
  <si>
    <t>2017 Test Year</t>
  </si>
  <si>
    <t>Reporting Basis</t>
  </si>
  <si>
    <t>CGAAP</t>
  </si>
  <si>
    <t>MIFRS</t>
  </si>
  <si>
    <t>System Access</t>
  </si>
  <si>
    <t>New Services - roll ins</t>
  </si>
  <si>
    <t xml:space="preserve">New Non Residential Connections - Overhead </t>
  </si>
  <si>
    <t xml:space="preserve">New Non Residential Connections - Underground </t>
  </si>
  <si>
    <t xml:space="preserve">New OH Transformers </t>
  </si>
  <si>
    <t xml:space="preserve">New UG Transformers </t>
  </si>
  <si>
    <t xml:space="preserve">Metering- New Customers </t>
  </si>
  <si>
    <t xml:space="preserve">Relocation- Shellard Lane </t>
  </si>
  <si>
    <t>Dalhousie (Clarence - Brant Ave.) - New Build (PN278)</t>
  </si>
  <si>
    <t>Colborne/Dalhouse/Brant Ave/Icomm Intersection (PN162)</t>
  </si>
  <si>
    <t xml:space="preserve">Relocations- City &amp; MTO </t>
  </si>
  <si>
    <t>Sub-Total</t>
  </si>
  <si>
    <t>New Subdivision Costs (Before Capital Contributions)</t>
  </si>
  <si>
    <t xml:space="preserve">Other Subdivision Costs </t>
  </si>
  <si>
    <t>Diana  Condos</t>
  </si>
  <si>
    <t>Grand Valley Phase 2A &amp; 2B</t>
  </si>
  <si>
    <t>Wyndfield Phase 1</t>
  </si>
  <si>
    <t>Wyndfield Phase 2A &amp; 2B</t>
  </si>
  <si>
    <t>Wyndfield Phase 3</t>
  </si>
  <si>
    <t>Wyndfield Phase 4</t>
  </si>
  <si>
    <t>Wyndfield Phase 5</t>
  </si>
  <si>
    <t>Hardling Gardens</t>
  </si>
  <si>
    <t>Heatherington Heights Condos</t>
  </si>
  <si>
    <t>Wyndfield lots for 2016</t>
  </si>
  <si>
    <t>Town Home Condos for 2016</t>
  </si>
  <si>
    <t>Lots &amp; Townhomes for 2017</t>
  </si>
  <si>
    <t>Capital Contributions</t>
  </si>
  <si>
    <t>Diana Condos</t>
  </si>
  <si>
    <t>Lots &amp; Townhmes for 2016-2017</t>
  </si>
  <si>
    <t>City/MTO Relocations</t>
  </si>
  <si>
    <t>GS customer connection economic evaluation</t>
  </si>
  <si>
    <t>Total System Access Net of Capital Contributions</t>
  </si>
  <si>
    <t>System Renewal</t>
  </si>
  <si>
    <t>Conversion to 27kV and/or Ownership</t>
  </si>
  <si>
    <t xml:space="preserve">Colborne UG System Modifications </t>
  </si>
  <si>
    <t>Dalhousie (Drummond - Stanley) - Deep Services (PN333)</t>
  </si>
  <si>
    <t>D20 RTU Replacement</t>
  </si>
  <si>
    <t>Lynwood Drive</t>
  </si>
  <si>
    <t xml:space="preserve">Rebuild- Pole Replacements </t>
  </si>
  <si>
    <t>Rebuild- General</t>
  </si>
  <si>
    <t>Rebuild- Oak Park/403</t>
  </si>
  <si>
    <t xml:space="preserve">Rebuild- Vault replacements </t>
  </si>
  <si>
    <t xml:space="preserve">Rebuild- Line Transformers </t>
  </si>
  <si>
    <t xml:space="preserve">Rebuild- Lynden Hills </t>
  </si>
  <si>
    <t>Standby Adjustments</t>
  </si>
  <si>
    <t>Metering- Replace Existing</t>
  </si>
  <si>
    <t>System Service</t>
  </si>
  <si>
    <t>SCADA</t>
  </si>
  <si>
    <t>Downtown Automation Project</t>
  </si>
  <si>
    <t xml:space="preserve">Powerline Rd. Feeder Upgrades </t>
  </si>
  <si>
    <t>Automated reclosers</t>
  </si>
  <si>
    <t>pole-top capacitors near end of feeder</t>
  </si>
  <si>
    <t xml:space="preserve">Capacitor Study and Installation of Line Banks </t>
  </si>
  <si>
    <t>General Plant</t>
  </si>
  <si>
    <t>Automated Switches (115kV)- B12/B13</t>
  </si>
  <si>
    <t xml:space="preserve">Asset Management &amp; AM/FM &amp; GIS </t>
  </si>
  <si>
    <t xml:space="preserve">Vehicles </t>
  </si>
  <si>
    <t xml:space="preserve">Office Furniture and Computer Hardware </t>
  </si>
  <si>
    <t>SIP-Other</t>
  </si>
  <si>
    <t xml:space="preserve">FIS Implementation Costs </t>
  </si>
  <si>
    <t xml:space="preserve">CIS Implementation Costs </t>
  </si>
  <si>
    <t>Operations and Customer Service OMS</t>
  </si>
  <si>
    <t xml:space="preserve">Land </t>
  </si>
  <si>
    <t>Building</t>
  </si>
  <si>
    <t xml:space="preserve">Facility Manager </t>
  </si>
  <si>
    <t>Miscellaneous</t>
  </si>
  <si>
    <t>Total</t>
  </si>
  <si>
    <r>
      <t xml:space="preserve">Less Renewable Generation Facility Assets and Other Non-Rate-Regulated Utility Assets </t>
    </r>
    <r>
      <rPr>
        <b/>
        <i/>
        <sz val="10"/>
        <color rgb="FFFF0000"/>
        <rFont val="Arial"/>
        <family val="2"/>
      </rPr>
      <t>(input as negative)</t>
    </r>
  </si>
  <si>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</si>
  <si>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</si>
  <si>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</si>
  <si>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Appendix 2-AB</t>
  </si>
  <si>
    <t>Table 2 - Capital Expenditure Summary from Chapter 5 Consolidated
Distribution System Plan Filing Requirements</t>
  </si>
  <si>
    <t>First year of Forecast Period:</t>
  </si>
  <si>
    <t>CATEGORY</t>
  </si>
  <si>
    <r>
      <t xml:space="preserve">Historical Period </t>
    </r>
    <r>
      <rPr>
        <sz val="9"/>
        <rFont val="Arial"/>
        <family val="2"/>
      </rPr>
      <t>(previous plan</t>
    </r>
    <r>
      <rPr>
        <vertAlign val="superscript"/>
        <sz val="9"/>
        <rFont val="Arial"/>
        <family val="2"/>
      </rPr>
      <t>1</t>
    </r>
    <r>
      <rPr>
        <sz val="9"/>
        <rFont val="Arial"/>
        <family val="2"/>
      </rPr>
      <t xml:space="preserve"> &amp; actual)</t>
    </r>
  </si>
  <si>
    <r>
      <t xml:space="preserve">Forecast Period </t>
    </r>
    <r>
      <rPr>
        <sz val="9"/>
        <rFont val="Arial"/>
        <family val="2"/>
      </rPr>
      <t>(planned)</t>
    </r>
  </si>
  <si>
    <t>Plan</t>
  </si>
  <si>
    <t>Actual</t>
  </si>
  <si>
    <r>
      <t>Actual</t>
    </r>
    <r>
      <rPr>
        <b/>
        <vertAlign val="superscript"/>
        <sz val="9"/>
        <rFont val="Arial"/>
        <family val="2"/>
      </rPr>
      <t>2</t>
    </r>
  </si>
  <si>
    <t>$ '000</t>
  </si>
  <si>
    <t>(1)</t>
  </si>
  <si>
    <t>TOTAL EXPENDITURE</t>
  </si>
  <si>
    <t>System O&amp;M</t>
  </si>
  <si>
    <t>Notes to the Table:</t>
  </si>
  <si>
    <t>1.  Historical “previous plan” data is not required unless a plan has previously been filed</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</si>
  <si>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</si>
  <si>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</si>
  <si>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</si>
  <si>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</si>
  <si>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</si>
  <si>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Appendix 2-BA</t>
  </si>
  <si>
    <r>
      <t xml:space="preserve">Fixed Asset Continuity Schedule </t>
    </r>
    <r>
      <rPr>
        <b/>
        <vertAlign val="superscript"/>
        <sz val="14"/>
        <rFont val="Arial"/>
        <family val="2"/>
      </rPr>
      <t>1</t>
    </r>
    <r>
      <rPr>
        <b/>
        <sz val="14"/>
        <rFont val="Arial"/>
        <family val="2"/>
      </rPr>
      <t xml:space="preserve"> </t>
    </r>
  </si>
  <si>
    <t>Accounting Standard</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</si>
  <si>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</si>
  <si>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</si>
  <si>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</si>
  <si>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</si>
  <si>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</si>
  <si>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</si>
  <si>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</si>
  <si>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</si>
  <si>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t>Disposals</t>
  </si>
  <si>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</si>
  <si>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</si>
  <si>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</si>
  <si>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</si>
  <si>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</si>
  <si>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</si>
  <si>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</si>
  <si>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</si>
  <si>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</si>
  <si>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</si>
  <si>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</si>
  <si>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</si>
  <si>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</si>
  <si>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</si>
  <si>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</si>
  <si>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</si>
  <si>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</si>
  <si>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</si>
  <si>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</si>
  <si>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</si>
  <si>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</si>
  <si>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</si>
  <si>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</si>
  <si>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</si>
  <si>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</si>
  <si>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</si>
  <si>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</si>
  <si>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</si>
  <si>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</si>
  <si>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</si>
  <si>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</si>
  <si>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</si>
  <si>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</si>
  <si>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</si>
  <si>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</si>
  <si>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</si>
  <si>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</si>
  <si>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</si>
  <si>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</si>
  <si>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</si>
  <si>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</si>
  <si>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</si>
  <si>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</si>
  <si>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</si>
  <si>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</si>
  <si>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</si>
  <si>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r>
      <rPr>
        <b/>
        <sz val="10"/>
        <rFont val="Arial"/>
        <family val="2"/>
      </rPr>
      <t>Less:</t>
    </r>
    <r>
      <rPr>
        <sz val="10"/>
        <rFont val="Arial"/>
        <family val="2"/>
      </rPr>
      <t xml:space="preserve"> </t>
    </r>
    <r>
      <rPr>
        <i/>
        <sz val="10"/>
        <rFont val="Arial"/>
        <family val="2"/>
      </rPr>
      <t>Fully Allocated Depreciation</t>
    </r>
  </si>
  <si>
    <t>Transportation</t>
  </si>
  <si>
    <t>Net Depreciation</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</si>
  <si>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</si>
  <si>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</si>
  <si>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</si>
  <si>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</si>
  <si>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</si>
  <si>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</si>
  <si>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Depreciation and Amortization Expense</t>
  </si>
  <si>
    <r>
      <t>Assumes the applicant made capitalization and depreciation expense accounting policy changes under CGAAP effective January 1,</t>
    </r>
    <r>
      <rPr>
        <b/>
        <sz val="10"/>
        <color rgb="FFFF0000"/>
        <rFont val="Arial"/>
        <family val="2"/>
      </rPr>
      <t xml:space="preserve"> 2013</t>
    </r>
    <r>
      <rPr>
        <b/>
        <sz val="10"/>
        <rFont val="Arial"/>
        <family val="2"/>
      </rPr>
      <t xml:space="preserve"> and has adopted IFRS for financial reporting purposes effective January 1, </t>
    </r>
    <r>
      <rPr>
        <b/>
        <sz val="10"/>
        <color rgb="FFFF0000"/>
        <rFont val="Arial"/>
        <family val="2"/>
      </rPr>
      <t>2015.</t>
    </r>
  </si>
  <si>
    <t>Account</t>
  </si>
  <si>
    <t>Description</t>
  </si>
  <si>
    <t>Depreciation Rate on New Additions</t>
  </si>
  <si>
    <r>
      <t xml:space="preserve">Variance </t>
    </r>
    <r>
      <rPr>
        <b/>
        <vertAlign val="superscript"/>
        <sz val="10"/>
        <rFont val="Arial"/>
        <family val="2"/>
      </rPr>
      <t>2</t>
    </r>
  </si>
  <si>
    <t>Less Depreciation Expense on Assets Fully Depreciated during the year
(o)</t>
  </si>
  <si>
    <t>(d)</t>
  </si>
  <si>
    <t>(f)</t>
  </si>
  <si>
    <t>(g) = 1 / (f)</t>
  </si>
  <si>
    <t>Load Management Controls - Customer Premises</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</si>
  <si>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</si>
  <si>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</si>
  <si>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This column refers to the calculated full year depreciation but excludes the depreciation expense on assets fully depreciated during the year.  This column is used for the purpose of calculating depreciation expense in the following year on the next worksheet.</t>
  </si>
  <si>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</si>
  <si>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</si>
  <si>
    <t>Appendix 2-CK</t>
  </si>
  <si>
    <t>Years (new additions only)</t>
  </si>
  <si>
    <r>
      <t xml:space="preserve">2016 Depreciation Expense </t>
    </r>
    <r>
      <rPr>
        <b/>
        <vertAlign val="superscript"/>
        <sz val="10"/>
        <rFont val="Arial"/>
        <family val="2"/>
      </rPr>
      <t>1</t>
    </r>
  </si>
  <si>
    <t>2016 Depreciation Expense per Appendix 2-BA Fixed Assets, Column J
 (l)</t>
  </si>
  <si>
    <t>Depreciation Expense on 2015 Full Year Additions</t>
  </si>
  <si>
    <r>
      <t xml:space="preserve">2016 Full Year Depreciation </t>
    </r>
    <r>
      <rPr>
        <b/>
        <vertAlign val="superscript"/>
        <sz val="10"/>
        <rFont val="Arial"/>
        <family val="2"/>
      </rPr>
      <t>3</t>
    </r>
  </si>
  <si>
    <t xml:space="preserve">(h)=2015 Full Year Depreciation + ((d)*0.5)/(f) </t>
  </si>
  <si>
    <t>(m) = (h) - (l)</t>
  </si>
  <si>
    <t xml:space="preserve">(n)=((d))/(f) </t>
  </si>
  <si>
    <t>(p) = 2015 Full Year Depreciation  + (n) - (o)</t>
  </si>
  <si>
    <t>Depreciation exp. adj. from gain or loss on the retirement of assets (pool of like assets)</t>
  </si>
  <si>
    <t>Total Depreciation expense to be included in the test year revenue requirement</t>
  </si>
  <si>
    <t>Appendix 2-CL</t>
  </si>
  <si>
    <r>
      <t xml:space="preserve">2017 Depreciation Expense </t>
    </r>
    <r>
      <rPr>
        <b/>
        <vertAlign val="superscript"/>
        <sz val="10"/>
        <rFont val="Arial"/>
        <family val="2"/>
      </rPr>
      <t>1</t>
    </r>
  </si>
  <si>
    <t>2017 Depreciation Expense per Appendix 2-BA Fixed Assets, Column J
 (l)</t>
  </si>
  <si>
    <t xml:space="preserve">(h)=2016 Full Year Depreciation + ((d)*0.5)/(f) </t>
  </si>
  <si>
    <t>Appendix 2-H</t>
  </si>
  <si>
    <t>Other Operating Revenue</t>
  </si>
  <si>
    <t>USoA #</t>
  </si>
  <si>
    <t>USoA Description</t>
  </si>
  <si>
    <t>2013 Actual</t>
  </si>
  <si>
    <t>Actual Year²</t>
  </si>
  <si>
    <t>Actual Year</t>
  </si>
  <si>
    <t>Bridge Year²</t>
  </si>
  <si>
    <t>Test Year</t>
  </si>
  <si>
    <t>Specific Service Charges</t>
  </si>
  <si>
    <t>Late Payment Charges</t>
  </si>
  <si>
    <t>SSS Revenue</t>
  </si>
  <si>
    <t>Retail Services Revenues</t>
  </si>
  <si>
    <t>Service Tax Requests</t>
  </si>
  <si>
    <t>Electric Services Incidental to Energy Sales</t>
  </si>
  <si>
    <t>Interdepartmental Rents</t>
  </si>
  <si>
    <t>Rent from Electic Property</t>
  </si>
  <si>
    <t>Other Utility Operating Income</t>
  </si>
  <si>
    <t>Other Electric Revenues</t>
  </si>
  <si>
    <t>Provision for Rate Refunds</t>
  </si>
  <si>
    <t>Government Assistance Directly Credited to Income</t>
  </si>
  <si>
    <t>Regulatory Debits</t>
  </si>
  <si>
    <t>Regulatory Credits</t>
  </si>
  <si>
    <t>Revenues from Electric Plant Leased to Others</t>
  </si>
  <si>
    <t>Expenses of Electric Plant Leased to Others</t>
  </si>
  <si>
    <t>Revenues from Merchandise, Jobbing, Etc.</t>
  </si>
  <si>
    <t>Costs and Expenses of Merchandising, Jobbing, Etc</t>
  </si>
  <si>
    <t>Profits and Losses from Financial Instrument Hedges</t>
  </si>
  <si>
    <t>Profits and Losses from Financial Instrument Investments</t>
  </si>
  <si>
    <t>Gains from Disposition of Future Use Utility Plant</t>
  </si>
  <si>
    <t>Losses from Disposition of Future Use Utility Plant</t>
  </si>
  <si>
    <t>Gain on Disposition of Utility and Other Property</t>
  </si>
  <si>
    <t>Loss on Disposition of Utility and Other Property</t>
  </si>
  <si>
    <t>Gains from Disposition of Allowances for Emission</t>
  </si>
  <si>
    <t>Losses from Disposition of Allowances for Emission</t>
  </si>
  <si>
    <t>Revenues from Non-Utility Operations</t>
  </si>
  <si>
    <t>Expenses from Non-Utility Operations</t>
  </si>
  <si>
    <t>Expenses of Non-Utility Operations</t>
  </si>
  <si>
    <t>Miscellaneous Non-Operating Income</t>
  </si>
  <si>
    <t>Rate-Payer Benefit Including Interest</t>
  </si>
  <si>
    <t>Foreign Exchange Gains and Losses, Including Amortization</t>
  </si>
  <si>
    <t>Interest and Dividend Income</t>
  </si>
  <si>
    <t>Equity in Earnings of Subsidiary Companies</t>
  </si>
  <si>
    <t>Other Operating Revenues</t>
  </si>
  <si>
    <t>Other Income or Deductions</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</si>
  <si>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</si>
  <si>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</si>
  <si>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</si>
  <si>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</si>
  <si>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</si>
  <si>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</si>
  <si>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</si>
  <si>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Note: Add all applicable accounts listed above to the table and include all relevant information.</t>
  </si>
  <si>
    <t>Account Breakdown Details</t>
  </si>
  <si>
    <r>
      <t xml:space="preserve">For each </t>
    </r>
    <r>
      <rPr>
        <sz val="10"/>
        <rFont val="Arial"/>
        <family val="2"/>
      </rPr>
      <t>"Other Operating Revenue" and "Other Income or Deductions" Account, a detailed breakdown of the account components is required.  See the example below for Account 4405, Interest and Dividend Income.</t>
    </r>
  </si>
  <si>
    <t>Account 4080 -SSS Revenue</t>
  </si>
  <si>
    <t>RESIDENTIAL REV - SSS</t>
  </si>
  <si>
    <t>GEN SERV &lt;50KW REV - SSS</t>
  </si>
  <si>
    <t>G. S. UNMETERED REV SSS</t>
  </si>
  <si>
    <t>GEN SERV &gt;50KW REV - SSS</t>
  </si>
  <si>
    <t>STREET LIGHT REV - SSS</t>
  </si>
  <si>
    <t>SENTINEL LIGHT REV - SSS</t>
  </si>
  <si>
    <t>GEN SERV&gt;5000KW REV - SSS</t>
  </si>
  <si>
    <t>Account 4082 -Retail Services Revenue</t>
  </si>
  <si>
    <t>RSVA ADJUSTMENT</t>
  </si>
  <si>
    <t>RTLR(9)-STANDARD CHARGE</t>
  </si>
  <si>
    <t>RTLR(9)-DCBR BILL READY CHARGE</t>
  </si>
  <si>
    <t>RTLR(9)-MONTHLY FIXED CHARGE</t>
  </si>
  <si>
    <t>RTLR(9)-MONTHLY VARIABLE CHRG</t>
  </si>
  <si>
    <t>Account 4084 -Service Tax Requests</t>
  </si>
  <si>
    <t>RTLR(9)-ACCEPT FEE</t>
  </si>
  <si>
    <t>RTLR(9)-REQUEST FEE</t>
  </si>
  <si>
    <t>Account 4220 -Other Electric Revenue</t>
  </si>
  <si>
    <t>OCCUPANCY/COLLECTION REVENUE</t>
  </si>
  <si>
    <t>Account 4405 - Interest and Dividend Income</t>
  </si>
  <si>
    <t>INTEREST ON INCOME TAXES</t>
  </si>
  <si>
    <t>INTEREST ON A/R</t>
  </si>
  <si>
    <t>INVESTMENT INCOME</t>
  </si>
  <si>
    <t>Account 4210 - Rent from Electric Property</t>
  </si>
  <si>
    <t>Pole Rental Revenues Affiliates</t>
  </si>
  <si>
    <t>Pole Rental Revenues Other</t>
  </si>
  <si>
    <t>Account 4225 - Late Payment Charges</t>
  </si>
  <si>
    <t xml:space="preserve">Late Payment Charges </t>
  </si>
  <si>
    <t>Account 4235 - Miscellaneous Service Revenues</t>
  </si>
  <si>
    <t>ARREARS CERTIFICATE REVENUE</t>
  </si>
  <si>
    <t>CREDIT CHECK FEE</t>
  </si>
  <si>
    <t>RETURNED CHEQUE CHARGE</t>
  </si>
  <si>
    <t>NEW A/C SET UP FEE</t>
  </si>
  <si>
    <t>FIELD COLLECTION CHARGE</t>
  </si>
  <si>
    <t>RECONNECTION CHARGE</t>
  </si>
  <si>
    <t>ELECTRIC RECONNECT AFTER HOURS</t>
  </si>
  <si>
    <t>RECONNECT AT POLE</t>
  </si>
  <si>
    <t>TEMP HYDRO SERVICE CHARGE</t>
  </si>
  <si>
    <t>TEMP U/G SERVICE CHARGE</t>
  </si>
  <si>
    <t>ENERGY SALES</t>
  </si>
  <si>
    <t>OTHER</t>
  </si>
  <si>
    <t>Account 4355-Gain on Disposition of Utility and Other Property</t>
  </si>
  <si>
    <t>Account 4375- Revenue from Non-Utility Operations</t>
  </si>
  <si>
    <t>Affilliate Allocations</t>
  </si>
  <si>
    <t>New Building Rental Income- Non-Utility</t>
  </si>
  <si>
    <t>CDM Bonus</t>
  </si>
  <si>
    <t>Adjustment to offset BEC Management Fees in 4380 and bad debt expense for affiliates</t>
  </si>
  <si>
    <t>Adjustment to offset New Building Operational Cost-Non-Utility in 4380</t>
  </si>
  <si>
    <t>Account 4380-Expenses from Non-Utility Operations</t>
  </si>
  <si>
    <t>Bad Debt Expense</t>
  </si>
  <si>
    <t>New Building Operational Cost- Non-Utility</t>
  </si>
  <si>
    <t>Affiliate Allocations</t>
  </si>
  <si>
    <t>BEC Management Fees</t>
  </si>
  <si>
    <t>Account 4390-Miscellaneous Non-Operating Income</t>
  </si>
  <si>
    <t xml:space="preserve">Sales of Scrap </t>
  </si>
  <si>
    <t xml:space="preserve">Other </t>
  </si>
  <si>
    <t>List and specify any other interest revenue.</t>
  </si>
  <si>
    <t>In the transition year to IFRS, the applicant is to present information in both MIFRS and CGAAP.  For the typical applicant that adopted IFRS on January 1, 2015, 2014 must be presented in both a CGAAP and MIFRS basis.</t>
  </si>
  <si>
    <t>Appendix 2-JA</t>
  </si>
  <si>
    <r>
      <t xml:space="preserve">Summary of </t>
    </r>
    <r>
      <rPr>
        <b/>
        <u/>
        <sz val="14"/>
        <color indexed="10"/>
        <rFont val="Arial"/>
        <family val="2"/>
      </rPr>
      <t>Recoverable</t>
    </r>
    <r>
      <rPr>
        <b/>
        <sz val="14"/>
        <rFont val="Arial"/>
        <family val="2"/>
      </rPr>
      <t xml:space="preserve"> OM&amp;A Expenses</t>
    </r>
  </si>
  <si>
    <t>Last Rebasing Year (2013 Board-Approved)</t>
  </si>
  <si>
    <t>Last Rebasing Year (2013 Actuals)</t>
  </si>
  <si>
    <t>2014 Actuals</t>
  </si>
  <si>
    <t>2015 Actuals</t>
  </si>
  <si>
    <t>Operations</t>
  </si>
  <si>
    <t>Maintenance</t>
  </si>
  <si>
    <t>SubTotal</t>
  </si>
  <si>
    <t>%Change (year over year)</t>
  </si>
  <si>
    <t>%Change (Test Year vs 
Last Rebasing Year - Actual)</t>
  </si>
  <si>
    <t>Billing and Collecting</t>
  </si>
  <si>
    <t>Community Relations</t>
  </si>
  <si>
    <t>Administrative and General</t>
  </si>
  <si>
    <t>Variance 2013  BA – 2013 Actuals</t>
  </si>
  <si>
    <t>Variance 2014 Actuals vs. 2013 Actuals</t>
  </si>
  <si>
    <t>Variance 2015 Actuals vs. 2014 Actuals</t>
  </si>
  <si>
    <t>Variance 2016 Bridge vs. 2015 Actuals</t>
  </si>
  <si>
    <t>Variance 2017 Test vs. 2016 Bridge</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</si>
  <si>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</si>
  <si>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</si>
  <si>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</si>
  <si>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</si>
  <si>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</si>
  <si>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</si>
  <si>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</si>
  <si>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</si>
  <si>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</si>
  <si>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</si>
  <si>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</si>
  <si>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</si>
  <si>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
  </si>
  <si>
    <t>Compound Growth Rate                                                            (2015 Actuals vs. 2013 Actuals)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</si>
  <si>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</si>
  <si>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</si>
  <si>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</si>
  <si>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</si>
  <si>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Appendix 2-JB</t>
  </si>
  <si>
    <t>Recoverable OM&amp;A Cost Driver Table</t>
  </si>
  <si>
    <t>OM&amp;A</t>
  </si>
  <si>
    <t>Professional fees - Strategic Plan / Job Evaluation</t>
  </si>
  <si>
    <t>Smart meter contra - OM&amp;A and amortization</t>
  </si>
  <si>
    <t>Employee future benefits actuarial valuation and severance adjustments</t>
  </si>
  <si>
    <t>Final settlement reduction during 2013 COS</t>
  </si>
  <si>
    <t>Construction materials and supplies - line transformers</t>
  </si>
  <si>
    <t>System integration projects</t>
  </si>
  <si>
    <t>Changes to shared services to affiliates</t>
  </si>
  <si>
    <t>Customer Billing - postage</t>
  </si>
  <si>
    <t>Changes in staffing, wages and benefits</t>
  </si>
  <si>
    <t>Adjustment to allowance for doubtful accounts</t>
  </si>
  <si>
    <t>One-time costs relating to Cost of Service filing</t>
  </si>
  <si>
    <t>Organizational Improvements / Strategic Initiatives</t>
  </si>
  <si>
    <t>Restructuring of Shared Services Agreement</t>
  </si>
  <si>
    <t>Direct Labour Project Mix (Capital vs. OM&amp;A)</t>
  </si>
  <si>
    <t>Fleet Amortization</t>
  </si>
  <si>
    <t>Other - Immaterial Variances</t>
  </si>
  <si>
    <t>Adjustments to remove building impact</t>
  </si>
  <si>
    <t>Adjustments to update 2016 YTD + Forecast</t>
  </si>
  <si>
    <t>Adjustments made for settlement proposal</t>
  </si>
  <si>
    <t>For each year, a detailed explanation for each cost driver and associated amount is requied in Exhibit 4.</t>
  </si>
  <si>
    <t>For purposes of assessing incremental cost drivers, the closing balance for each year becomes the opening balance for the next year.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</si>
  <si>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</si>
  <si>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Opening Balance for "Last Rebasing Year" (cell B15) should be equal to the Board-Approved amount.</t>
  </si>
  <si>
    <t>2009 Actuals</t>
  </si>
  <si>
    <t>Appendix 2-JC</t>
  </si>
  <si>
    <t>OM&amp;A Programs Table</t>
  </si>
  <si>
    <t>Programs</t>
  </si>
  <si>
    <t>Variance 
(Test Year vs. 2015 Actuals)</t>
  </si>
  <si>
    <t>Variance 
(Test Year vs. Last Rebasing Year (2013 Board-Approved)</t>
  </si>
  <si>
    <t>Operation of Distribution Station</t>
  </si>
  <si>
    <t>Transformer Substations</t>
  </si>
  <si>
    <t>Overhead Distribution Lines/Feeders</t>
  </si>
  <si>
    <t>Underground Distribution Lines/Feeders</t>
  </si>
  <si>
    <t>Load Dispatching</t>
  </si>
  <si>
    <t>Miscellaneous Distribution</t>
  </si>
  <si>
    <t>Distribution Meters</t>
  </si>
  <si>
    <t>Customer Premises</t>
  </si>
  <si>
    <t>Supervision</t>
  </si>
  <si>
    <t>Stores/Fleet/Property Allocations</t>
  </si>
  <si>
    <t>Maintenance of Poles, Towers &amp; Fixtures</t>
  </si>
  <si>
    <t>Tree Trimming</t>
  </si>
  <si>
    <t>Stores Allocations</t>
  </si>
  <si>
    <t>Customer Service</t>
  </si>
  <si>
    <t>Billing/Supervision</t>
  </si>
  <si>
    <t>Meter Reading</t>
  </si>
  <si>
    <t>Collections</t>
  </si>
  <si>
    <t>Bad Debts</t>
  </si>
  <si>
    <t>Administration</t>
  </si>
  <si>
    <t>Administration Wages/Employee Benefits</t>
  </si>
  <si>
    <t>General Administration</t>
  </si>
  <si>
    <t>Outside Services Purchased/Insurance</t>
  </si>
  <si>
    <t>Regulatory Expenses</t>
  </si>
  <si>
    <t>Smart Meter Contra</t>
  </si>
  <si>
    <t>1   Please provide a breakdown of the major components of each OM&amp;A Program undertaken in each year.  Please ensure that all Programs below the materiality threshold are included in the miscellaneous line.  Add more Programs as required.</t>
  </si>
  <si>
    <t>2   The applicant should group projects appropriately and avoid presentations that result in classification of significant components of the OM&amp;A budget in the miscellaneous category</t>
  </si>
  <si>
    <t>Appendix 2-L</t>
  </si>
  <si>
    <r>
      <t xml:space="preserve">Recoverable OM&amp;A Cost per Customer and per FTE </t>
    </r>
    <r>
      <rPr>
        <b/>
        <vertAlign val="superscript"/>
        <sz val="14"/>
        <rFont val="Arial"/>
        <family val="2"/>
      </rPr>
      <t>1</t>
    </r>
  </si>
  <si>
    <t>Last Rebasing Year - 2013- Board Approved</t>
  </si>
  <si>
    <t>Last Rebasing Year - 2013-  Actual</t>
  </si>
  <si>
    <r>
      <t xml:space="preserve">Number of Customers </t>
    </r>
    <r>
      <rPr>
        <b/>
        <vertAlign val="superscript"/>
        <sz val="10"/>
        <rFont val="Arial"/>
        <family val="2"/>
      </rPr>
      <t>2,4</t>
    </r>
  </si>
  <si>
    <t>Total Recoverable OM&amp;A from Appendix 2-JA</t>
  </si>
  <si>
    <t>OM&amp;A cost per customer</t>
  </si>
  <si>
    <r>
      <t xml:space="preserve">Number of FTEs </t>
    </r>
    <r>
      <rPr>
        <b/>
        <vertAlign val="superscript"/>
        <sz val="10"/>
        <rFont val="Arial"/>
        <family val="2"/>
      </rPr>
      <t>3,4</t>
    </r>
  </si>
  <si>
    <t>Customers/FTEs</t>
  </si>
  <si>
    <t>OM&amp;A Cost per FTE</t>
  </si>
  <si>
    <t>The method of calculating the number of customers must be identified.</t>
  </si>
  <si>
    <t>The method of calculating the number of FTEs must be identified.  See also Appendix 2-K</t>
  </si>
  <si>
    <t>The number of customers and the number of FTEs should correspond to mid-year or average of January 1 and December 31 figures.</t>
  </si>
  <si>
    <t>Appendix 2-OA</t>
  </si>
  <si>
    <t>Capital Structure and Cost of Capital</t>
  </si>
  <si>
    <t>This table must be completed for the last Board approved year and the test year.</t>
  </si>
  <si>
    <t>Year:</t>
  </si>
  <si>
    <t>Line No.</t>
  </si>
  <si>
    <t>Particulars</t>
  </si>
  <si>
    <t>Capitalization Ratio</t>
  </si>
  <si>
    <t>Cost Rate</t>
  </si>
  <si>
    <t>Return</t>
  </si>
  <si>
    <t>(%)</t>
  </si>
  <si>
    <t>($)</t>
  </si>
  <si>
    <t>Debt</t>
  </si>
  <si>
    <t xml:space="preserve">  Long-term Debt</t>
  </si>
  <si>
    <t xml:space="preserve">  Short-term Debt</t>
  </si>
  <si>
    <t>Total Debt</t>
  </si>
  <si>
    <t>Equity</t>
  </si>
  <si>
    <t xml:space="preserve">  Common Equity</t>
  </si>
  <si>
    <t xml:space="preserve">  Preferred Shares</t>
  </si>
  <si>
    <t>Total Equity</t>
  </si>
  <si>
    <t>Notes</t>
  </si>
  <si>
    <t>4.0% unless an applicant has proposed or been approved for a different amount.</t>
  </si>
  <si>
    <t>Appendix 2-P</t>
  </si>
  <si>
    <t>Cost Allocation</t>
  </si>
  <si>
    <t>Please complete the following four tables.</t>
  </si>
  <si>
    <t>A)  Allocated Costs</t>
  </si>
  <si>
    <t>Classes</t>
  </si>
  <si>
    <t>Costs Allocated from Previous Study</t>
  </si>
  <si>
    <t>%</t>
  </si>
  <si>
    <t>Costs Allocated in Test Year Study                    (Column 7A)</t>
  </si>
  <si>
    <t>Residential</t>
  </si>
  <si>
    <t>GS &lt; 50 kW</t>
  </si>
  <si>
    <t>GS &gt; 50 kW (or 50 kW &lt; GS &lt; xxx kW, if applicable)</t>
  </si>
  <si>
    <t>GS &gt; xxx kW, if applicable</t>
  </si>
  <si>
    <t>Large User, if applicable</t>
  </si>
  <si>
    <t>Street Lighting</t>
  </si>
  <si>
    <t>Sentinel Lighting</t>
  </si>
  <si>
    <t>Unmetered Scattered Load (USL)</t>
  </si>
  <si>
    <t>Other class, if applicable</t>
  </si>
  <si>
    <t>Embedded distributor class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</si>
  <si>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</si>
  <si>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costs and revenues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</si>
  <si>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</si>
  <si>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</si>
  <si>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</si>
  <si>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</si>
  <si>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</si>
  <si>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</si>
  <si>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</si>
  <si>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</si>
  <si>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</si>
  <si>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</si>
  <si>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</si>
  <si>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</si>
  <si>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</si>
  <si>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</si>
  <si>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</si>
  <si>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</si>
  <si>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</si>
  <si>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</si>
  <si>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</si>
  <si>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</si>
  <si>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</si>
  <si>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</si>
  <si>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</si>
  <si>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</si>
  <si>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</si>
  <si>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</si>
  <si>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</si>
  <si>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1     Previously Approved Revenue-to-Cost Ratios - For most applicants, Most Recent Year would be the third year of the IRM 3 period,  e.g. if the applicant rebased in 2009 with further adjustments over 2 years, the Most recent year is 2011.  For applicants whose most recent rebasing year is 2006,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</si>
  <si>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</si>
  <si>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</si>
  <si>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</si>
  <si>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 xml:space="preserve">1     The applicant should complete Table D if it is applying for approval of a revenue to cost ratio in 2014 that is outside the Board’s policy range for any customer class. Table (d) will show the information that the distributor would likely enter in the IRM model) in 2016.  In 2017 Table (d), enter the planned ratios for the classes that will be ‘Change’ and ‘No Change’ in 2016 (in the current Revenue Cost Ratio Adjustment Workform, Worksheet C1.1 ‘Decision – Cost Revenue Adjustment’, column d), and enter TBD for class(es) that will be entered as ‘Rebalance’. </t>
  </si>
  <si>
    <t>Appendix 2-PA</t>
  </si>
  <si>
    <t>New Rate Design Policy For Residential Customers</t>
  </si>
  <si>
    <t>Please complete the following tables.</t>
  </si>
  <si>
    <t>A)  Data Inputs</t>
  </si>
  <si>
    <t>Test Year Billing Determinants for Residential Class</t>
  </si>
  <si>
    <t>Customers</t>
  </si>
  <si>
    <t>kWh</t>
  </si>
  <si>
    <r>
      <t>Proposed Residential Class Specific Revenue Requirement</t>
    </r>
    <r>
      <rPr>
        <vertAlign val="superscript"/>
        <sz val="10"/>
        <rFont val="Arial"/>
        <family val="2"/>
      </rPr>
      <t>1</t>
    </r>
  </si>
  <si>
    <t>Residential Base Rates on Current Tariff</t>
  </si>
  <si>
    <t>Monthly Fixed Charge ($)</t>
  </si>
  <si>
    <t>Distribution Volumetric Rate ($/kWh)</t>
  </si>
  <si>
    <t>B) Current Fixed/Variable Split</t>
  </si>
  <si>
    <t>Base Rates</t>
  </si>
  <si>
    <t>Billing Determinants</t>
  </si>
  <si>
    <t>Revenue</t>
  </si>
  <si>
    <t>% of Total Revenue</t>
  </si>
  <si>
    <t>Fixed</t>
  </si>
  <si>
    <t>Variable</t>
  </si>
  <si>
    <t>TOTAL</t>
  </si>
  <si>
    <t>-</t>
  </si>
  <si>
    <t>C) Calculating Test Year Base Rates</t>
  </si>
  <si>
    <r>
      <t>Number of Required Rate Design Policy Transition Years</t>
    </r>
    <r>
      <rPr>
        <vertAlign val="superscript"/>
        <sz val="10"/>
        <rFont val="Arial"/>
        <family val="2"/>
      </rPr>
      <t>2</t>
    </r>
  </si>
  <si>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</si>
  <si>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</si>
  <si>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</si>
  <si>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</si>
  <si>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</si>
  <si>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</si>
  <si>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</si>
  <si>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</si>
  <si>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</si>
  <si>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</si>
  <si>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r>
      <rPr>
        <sz val="10"/>
        <rFont val="Arial"/>
        <family val="2"/>
      </rPr>
      <t>1</t>
    </r>
    <r>
      <rPr>
        <b/>
        <sz val="10"/>
        <rFont val="Arial"/>
        <family val="2"/>
      </rPr>
      <t xml:space="preserve">     </t>
    </r>
    <r>
      <rPr>
        <sz val="10"/>
        <rFont val="Arial"/>
        <family val="2"/>
      </rPr>
      <t>The final residential class specific revenue requirement, as shown in Appendix 2-P, should be used (i.e. the revenue requirement after any proposed adjustments to R/C ratios).</t>
    </r>
  </si>
  <si>
    <t>2     Default number of transition years for rate design policy change is 4. Where the change in the residential rate design will result in the fixed charge increasing by more than $4/year, a distributor may propose an additional transition year.</t>
  </si>
  <si>
    <t>3     Change in fixed rate due to rate design policy should be less than $4. The difference between the proposed class revenue requirement and the revenue at calculated base rates should be minimal (i.e. should be reasonably considered as a rounding error)</t>
  </si>
  <si>
    <t>Appendix 2-R</t>
  </si>
  <si>
    <t>Loss Factors</t>
  </si>
  <si>
    <t>Historical Years</t>
  </si>
  <si>
    <t>5-Year Average</t>
  </si>
  <si>
    <t>Losses Within Distributor's System</t>
  </si>
  <si>
    <t>A(1)</t>
  </si>
  <si>
    <t>"Wholesale" kWh delivered to distributor (higher value)</t>
  </si>
  <si>
    <t>A(2)</t>
  </si>
  <si>
    <t>"Wholesale" kWh delivered to distributor (lower value)</t>
  </si>
  <si>
    <t>B</t>
  </si>
  <si>
    <t>Portion of "Wholesale" kWh delivered to distributor for its Large Use Customer(s)</t>
  </si>
  <si>
    <t>C</t>
  </si>
  <si>
    <r>
      <t xml:space="preserve">Net "Wholesale" kWh delivered to distributor  = </t>
    </r>
    <r>
      <rPr>
        <b/>
        <sz val="10"/>
        <rFont val="Arial"/>
        <family val="2"/>
      </rPr>
      <t>A(2) - B</t>
    </r>
  </si>
  <si>
    <t>D</t>
  </si>
  <si>
    <t>"Retail" kWh delivered by distributor</t>
  </si>
  <si>
    <t>E</t>
  </si>
  <si>
    <t>Portion of "Retail" kWh delivered by distributor to its Large Use Customer(s)</t>
  </si>
  <si>
    <t>F</t>
  </si>
  <si>
    <r>
      <t xml:space="preserve">Net "Retail" kWh delivered by distributor = </t>
    </r>
    <r>
      <rPr>
        <b/>
        <sz val="10"/>
        <rFont val="Arial"/>
        <family val="2"/>
      </rPr>
      <t>D - E</t>
    </r>
  </si>
  <si>
    <t>G</t>
  </si>
  <si>
    <r>
      <t xml:space="preserve">Loss Factor in Distributor's system = </t>
    </r>
    <r>
      <rPr>
        <b/>
        <sz val="10"/>
        <rFont val="Arial"/>
        <family val="2"/>
      </rPr>
      <t>C / F</t>
    </r>
  </si>
  <si>
    <t>Losses Upstream of Distributor's System</t>
  </si>
  <si>
    <t>H</t>
  </si>
  <si>
    <t>Supply Facilities Loss Factor</t>
  </si>
  <si>
    <t>Total Losses</t>
  </si>
  <si>
    <t>I</t>
  </si>
  <si>
    <r>
      <t xml:space="preserve">Total Loss Factor = </t>
    </r>
    <r>
      <rPr>
        <b/>
        <sz val="10"/>
        <rFont val="Arial"/>
        <family val="2"/>
      </rPr>
      <t>G x H</t>
    </r>
  </si>
  <si>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rPr>
      <t>higher</t>
    </r>
    <r>
      <rPr>
        <sz val="10"/>
        <rFont val="Arial"/>
        <family val="2"/>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</si>
  <si>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rPr>
      <t>higher</t>
    </r>
    <r>
      <rPr>
        <sz val="10"/>
        <rFont val="Arial"/>
        <family val="2"/>
      </rPr>
      <t xml:space="preserve"> of the two kWh values provided in Hydro One Networks' invoice.</t>
    </r>
  </si>
  <si>
    <t>If partially embedded, kWh pertains to the sum of the above.</t>
  </si>
  <si>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rPr>
      <t>lower</t>
    </r>
    <r>
      <rPr>
        <sz val="10"/>
        <rFont val="Arial"/>
        <family val="2"/>
      </rPr>
      <t xml:space="preserve"> of the two kWh values provided by MV-WEB.</t>
    </r>
  </si>
  <si>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rPr>
      <t>lower</t>
    </r>
    <r>
      <rPr>
        <sz val="10"/>
        <rFont val="Arial"/>
        <family val="2"/>
      </rPr>
      <t xml:space="preserve"> of the two kWh values provided in Hydro One Networks' invoice.</t>
    </r>
  </si>
  <si>
    <r>
      <t xml:space="preserve">Additionally, kWh pertaining to distributed generation directly connected to the distributor's own distribution network should be included in </t>
    </r>
    <r>
      <rPr>
        <b/>
        <sz val="10"/>
        <rFont val="Arial"/>
        <family val="2"/>
      </rPr>
      <t>A(2)</t>
    </r>
    <r>
      <rPr>
        <sz val="10"/>
        <rFont val="Arial"/>
        <family val="2"/>
      </rPr>
      <t>.</t>
    </r>
  </si>
  <si>
    <r>
      <t xml:space="preserve">If a Large Use Customer is metered on the secondary or low voltage side of the transformer, the default loss is 1%                         (i.e., </t>
    </r>
    <r>
      <rPr>
        <b/>
        <sz val="10"/>
        <rFont val="Arial"/>
        <family val="2"/>
      </rPr>
      <t>B</t>
    </r>
    <r>
      <rPr>
        <sz val="10"/>
        <rFont val="Arial"/>
        <family val="2"/>
      </rPr>
      <t xml:space="preserve"> = 1.01 X </t>
    </r>
    <r>
      <rPr>
        <b/>
        <sz val="10"/>
        <rFont val="Arial"/>
        <family val="2"/>
      </rPr>
      <t>E</t>
    </r>
    <r>
      <rPr>
        <sz val="10"/>
        <rFont val="Arial"/>
        <family val="2"/>
      </rPr>
      <t>).</t>
    </r>
  </si>
  <si>
    <t>kWh corresponding to D should equal metered or estimated kWh at the customer’s delivery point.</t>
  </si>
  <si>
    <r>
      <t>G</t>
    </r>
    <r>
      <rPr>
        <sz val="10"/>
        <rFont val="Arial"/>
        <family val="2"/>
      </rPr>
      <t xml:space="preserve"> and </t>
    </r>
    <r>
      <rPr>
        <b/>
        <sz val="10"/>
        <rFont val="Arial"/>
        <family val="2"/>
      </rPr>
      <t>I</t>
    </r>
  </si>
  <si>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</si>
  <si>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</si>
  <si>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</si>
  <si>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</si>
  <si>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</si>
  <si>
    <t>BPI did not make any updates to this tab.</t>
  </si>
  <si>
    <t>Appendix 2-U</t>
  </si>
  <si>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</si>
  <si>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</si>
  <si>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</si>
  <si>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t>
  </si>
  <si>
    <t>Audited Carrying</t>
  </si>
  <si>
    <t xml:space="preserve">Forecasted Costs </t>
  </si>
  <si>
    <t>Total Costs Including  Carrying Charges</t>
  </si>
  <si>
    <t>Carrying Charges January 1, 2015 to December 31,2015/April 30, 2016 (As appropriate)</t>
  </si>
  <si>
    <t>Total Costs and Carrying Charges</t>
  </si>
  <si>
    <t>Reasons why the costs recorded meet the criteria of one-time IFRS administrative incremental costs</t>
  </si>
  <si>
    <t>Costs Incurred</t>
  </si>
  <si>
    <t>Charges</t>
  </si>
  <si>
    <t>to Dec 31, 2015</t>
  </si>
  <si>
    <t>professional accounting fees</t>
  </si>
  <si>
    <t>professional legal fees</t>
  </si>
  <si>
    <t>salaries, wages and benefits of staff added to support the transition to IFRS</t>
  </si>
  <si>
    <t>associated staff training and development costs</t>
  </si>
  <si>
    <t>costs related to system upgrades, or replacements or changes where IFRS was the major reason for conversion</t>
  </si>
  <si>
    <r>
      <t xml:space="preserve">Amounts, if any, included in previous Board approved rates (amounts should be negative) </t>
    </r>
    <r>
      <rPr>
        <vertAlign val="superscript"/>
        <sz val="10"/>
        <rFont val="Arial"/>
        <family val="2"/>
      </rPr>
      <t>3</t>
    </r>
  </si>
  <si>
    <t>Insert description of additional item(s) and new rows if needed.</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</si>
  <si>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</si>
  <si>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t>If there were any amounts approved in previous Board approved rates, please state the EB #:</t>
  </si>
  <si>
    <t>Any forecasted One-time costs past 2015 should be fully explained in the application, since distributors were required to adopt IFRS or an alternative accounting standard by January 1, 2015.</t>
  </si>
  <si>
    <t>Appendix 2-V</t>
  </si>
  <si>
    <t>Revenue Reconciliation</t>
  </si>
  <si>
    <t>Rate Class</t>
  </si>
  <si>
    <t>Customers/ Connections</t>
  </si>
  <si>
    <t>Number of Customers/Connections</t>
  </si>
  <si>
    <t>Test Year Consumption</t>
  </si>
  <si>
    <t>Proposed Rates</t>
  </si>
  <si>
    <t>Revenues at Proposed Rates</t>
  </si>
  <si>
    <t>Class Specific Revenue Requirement</t>
  </si>
  <si>
    <t>Transformer Allowance Credit</t>
  </si>
  <si>
    <t>Difference</t>
  </si>
  <si>
    <t>Start of Test Year</t>
  </si>
  <si>
    <t>End of Test Year</t>
  </si>
  <si>
    <t>Average</t>
  </si>
  <si>
    <t>kW</t>
  </si>
  <si>
    <t>Monthly Service Charge</t>
  </si>
  <si>
    <t>Volumetric</t>
  </si>
  <si>
    <t>GS &gt; 50 to 4,999 kW</t>
  </si>
  <si>
    <t>Large Use</t>
  </si>
  <si>
    <t>Streetlighting</t>
  </si>
  <si>
    <t>Connections</t>
  </si>
  <si>
    <t>Unmetered Scattered Load</t>
  </si>
  <si>
    <t>Standby Power</t>
  </si>
  <si>
    <t>Embedded Distributor Class</t>
  </si>
  <si>
    <t>etc.</t>
  </si>
  <si>
    <t>Note</t>
  </si>
  <si>
    <t>1       The class specific revenue requirements in column N must be the amounts used in the final rate design process.  The total of column N should equate to the proposed base revenue requirement.</t>
  </si>
  <si>
    <t>2       Rates should be entered with the number of decimal places that will show on the Tariff of Rates and Charges.</t>
  </si>
  <si>
    <t>App.2-G: Service Reliability Indicators</t>
  </si>
  <si>
    <t>App.2-H: Other Operating Revenue</t>
  </si>
  <si>
    <t>App.2-I: Load Forecast CDM Adjustment Workform</t>
  </si>
  <si>
    <t>App.2-IA:  Actual and Forecast Load and Customer Data</t>
  </si>
  <si>
    <t>App.2-AA: Capital Projects Table</t>
  </si>
  <si>
    <t>App.2-JA: OM&amp;A Summary Analysis</t>
  </si>
  <si>
    <t>App.2-AB: Capital Expenditures</t>
  </si>
  <si>
    <t>App.2-JB: Recoverable OM&amp;A Cost Driver Table</t>
  </si>
  <si>
    <t>App. 2-AC: Customer Engagement Worksheet</t>
  </si>
  <si>
    <t>App.2-JC: OM&amp;A Programs Table</t>
  </si>
  <si>
    <t>App.2-B: General Accounting Instructions</t>
  </si>
  <si>
    <t>App.2-K: Employee Costs</t>
  </si>
  <si>
    <t>App.2-BA: Fixed Asset Continuity Schedule</t>
  </si>
  <si>
    <t>App.2-L: Recoverable OM&amp;A Cost per Customer and per FTE</t>
  </si>
  <si>
    <t>Appendix 2-BB: Service Life Comparison</t>
  </si>
  <si>
    <t>App.2-M: Regulatory Costs Schedule</t>
  </si>
  <si>
    <t>App.2-CA: 2012 Depreciation and Amortization Expense (Old CGAAP)</t>
  </si>
  <si>
    <t>App.2-N: Shared Servcies and Corporate Cost Allocation</t>
  </si>
  <si>
    <t>App.2-CB: 2012 Depreciation and Amortization Expense (New CGAAP)</t>
  </si>
  <si>
    <t>App.2-OA: Capital Structure and Cost of Capital</t>
  </si>
  <si>
    <t>App.2-CC: 2013 Depreciation and Amortization Expense (New CGAAP)</t>
  </si>
  <si>
    <t>App.2-OB: Debt Instruments</t>
  </si>
  <si>
    <t>App.2-CD: 2014 Depreciation and Amortization Expense (MIFRS)</t>
  </si>
  <si>
    <t>App.2-P: Cost Allocation</t>
  </si>
  <si>
    <t>App.2-CE: 2015 Depreciation and Amortization Expense (MIFRS)</t>
  </si>
  <si>
    <t>App.2-PA:  New Rate Design Policy For Residential Customers</t>
  </si>
  <si>
    <t>App.2-Q: Cost of Serving Embedded Distributor(s)</t>
  </si>
  <si>
    <t>App.2-CG: 2013 Depreciation and Amortization Expense (Old CGAAP)</t>
  </si>
  <si>
    <t>App.2-R: Loss Factors</t>
  </si>
  <si>
    <t>App.2-CH: 2013 Depreciation and Amortization Expense (New CGAAP)</t>
  </si>
  <si>
    <t>App.2-S: Stranded Meter Treatment</t>
  </si>
  <si>
    <t>App.2-CI: 2014 Depreciation and Amortization Expense (MIFRS)</t>
  </si>
  <si>
    <t>App.2-TA: Account 1592, PILs and Tax Variances</t>
  </si>
  <si>
    <t>App.2-CJ: 2015 Depreciation and Amortization Expense (MIFRS)</t>
  </si>
  <si>
    <t>App.2-TB: Account 1592, HST-OVAT Input Tax Credits</t>
  </si>
  <si>
    <t>App.2-CK: 2016 Depreciation and Amortization Expense (MIFRS)</t>
  </si>
  <si>
    <t>App.2-U: One-Time Incremental IFRS Transition Costs</t>
  </si>
  <si>
    <t>App.2-D: Overhead Expenses</t>
  </si>
  <si>
    <t>App.2-V: Revenue Reconciliation</t>
  </si>
  <si>
    <t>App.2-EA: Account 1575 PP&amp;E Deferral Account (2015 IFRS Adopters)</t>
  </si>
  <si>
    <t>App.2-W: Bill Impacts</t>
  </si>
  <si>
    <t>App.2-EB: Account 1576 - Accounting Changes Under CGAAP (2012 Changes)</t>
  </si>
  <si>
    <t>App.2-Y: Transition to MIFRS Summary Impact</t>
  </si>
  <si>
    <t>App.2-EC: Account 1576 - Accounting Changes Under CGAAP (2013 Changes)</t>
  </si>
  <si>
    <t>App. 2-Z: Tariff Schedule</t>
  </si>
  <si>
    <t>App.2-FA: Renewable Generation Connection Investment Summary</t>
  </si>
  <si>
    <t>App.2-FB: Calculation of Renewable Generation Connection Direct Benefits/Provincial Amount: Renewable Enabling Improvement Investments</t>
  </si>
  <si>
    <t>App.2-FC: Calculation of Renewable Generation Connection Direct Benefits/Provincial Amount: Renewable Expansion Investments</t>
  </si>
  <si>
    <t>Updated</t>
  </si>
  <si>
    <t>Not updated and not included</t>
  </si>
  <si>
    <t>App.2-CL: 2017 Depreciation and Amortization Expense (MIFRS)</t>
  </si>
  <si>
    <t>Included</t>
  </si>
  <si>
    <t>Included As Separate File</t>
  </si>
  <si>
    <t>Appendix 2-I</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</si>
  <si>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</si>
  <si>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</si>
  <si>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</si>
  <si>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</si>
  <si>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</si>
  <si>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2011-2014 CDM Program - 2014, last year of the current CDM plan</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</si>
  <si>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</si>
  <si>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</si>
  <si>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</si>
  <si>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</si>
  <si>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</si>
  <si>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4 Year (2011-2014) kWh Target:</t>
  </si>
  <si>
    <t>Persistence of 2014 CDM Program into 2015 and 2016</t>
  </si>
  <si>
    <t>2011 CDM Programs</t>
  </si>
  <si>
    <t>2012 CDM Programs</t>
  </si>
  <si>
    <t>2013 CDM Programs</t>
  </si>
  <si>
    <t>2014 CDM Programs</t>
  </si>
  <si>
    <t>Total in Year</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</si>
  <si>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</si>
  <si>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</si>
  <si>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6 Year (2015-2020) kWh Target:</t>
  </si>
  <si>
    <t>2015 CDM Programs</t>
  </si>
  <si>
    <t>2016 CDM Programs</t>
  </si>
  <si>
    <t>2017 CDM Programs</t>
  </si>
  <si>
    <t>2018 CDM Programs</t>
  </si>
  <si>
    <t>2019 CDM Programs</t>
  </si>
  <si>
    <t>2020 CDM Programs</t>
  </si>
  <si>
    <t>total</t>
  </si>
  <si>
    <t>from Plan</t>
  </si>
  <si>
    <t>Determination of 2016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</si>
  <si>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</si>
  <si>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</si>
  <si>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Net-to-Gross Conversion</t>
  </si>
  <si>
    <t>Is CDM adjustment being done on a "net" or "gross" basis?</t>
  </si>
  <si>
    <t>net</t>
  </si>
  <si>
    <t>"Gross"</t>
  </si>
  <si>
    <t>"Net"</t>
  </si>
  <si>
    <t>"Net-to-Gross" Conversion Factor</t>
  </si>
  <si>
    <t>Persistence of Historical CDM programs to 2014</t>
  </si>
  <si>
    <t>('g')</t>
  </si>
  <si>
    <t>2006-2010 CDM programs</t>
  </si>
  <si>
    <t>2011 CDM program</t>
  </si>
  <si>
    <t>NA</t>
  </si>
  <si>
    <t>2012 CDM program</t>
  </si>
  <si>
    <t>2013 CDM program</t>
  </si>
  <si>
    <t>2014 CDM program</t>
  </si>
  <si>
    <t>2006 to 2014 OPA CDM programs:  Persistence to 2016</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</si>
  <si>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</si>
  <si>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</si>
  <si>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Weight Factor for Inclusion in CDM Adjustment to 2014 Load Forecast</t>
  </si>
  <si>
    <t>Weight Factor for each year's CDM program impact on 2014 load forecast</t>
  </si>
  <si>
    <t>Distributor can select "0", "0.5", or "1" from drop-down list</t>
  </si>
  <si>
    <t xml:space="preserve">Default Value selection rationale.  </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</si>
  <si>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</si>
  <si>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</si>
  <si>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</si>
  <si>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</si>
  <si>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</si>
  <si>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</si>
  <si>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2011-2014 and 2015-2020 LRAMVA and 2015 CDM adjustment to Load Forecast</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</si>
  <si>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</si>
  <si>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</si>
  <si>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</si>
  <si>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</si>
  <si>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</si>
  <si>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</si>
  <si>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Proposed Loss Factor (TLF)</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</si>
  <si>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</si>
  <si>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</si>
  <si>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</si>
  <si>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Appendix 2-IA</t>
  </si>
  <si>
    <t>Summary and Variances of Actual and Forecast Data</t>
  </si>
  <si>
    <t>Replace "Rate Class #" with the appropriate rate classification.</t>
  </si>
  <si>
    <t>2013 Board Approved</t>
  </si>
  <si>
    <t>2016 Bridge</t>
  </si>
  <si>
    <t>2017 Test</t>
  </si>
  <si>
    <t># of Customers</t>
  </si>
  <si>
    <t>Variance Analysis</t>
  </si>
  <si>
    <t xml:space="preserve">General Service &lt;50 kW </t>
  </si>
  <si>
    <t>General Service 50-4999</t>
  </si>
  <si>
    <t xml:space="preserve">Sentinel Lights </t>
  </si>
  <si>
    <t># of Connections</t>
  </si>
  <si>
    <t xml:space="preserve">Street Lights </t>
  </si>
  <si>
    <t xml:space="preserve">Unmetered Scattered Load </t>
  </si>
  <si>
    <t xml:space="preserve">Embedded Distributor </t>
  </si>
  <si>
    <t>kWh *EST</t>
  </si>
  <si>
    <t>Wholesale Market Participants (Billed under GS&gt;50 kW for Dist. Rates)</t>
  </si>
  <si>
    <t xml:space="preserve">kWh *EST </t>
  </si>
  <si>
    <t xml:space="preserve">Standby Class </t>
  </si>
  <si>
    <t>Totals</t>
  </si>
  <si>
    <t>Customers / Connections</t>
  </si>
  <si>
    <t>kW from applicable classes</t>
  </si>
  <si>
    <t>Totals - Variance</t>
  </si>
  <si>
    <t>Chapter 2 Appendices Filing Requirements: Index</t>
  </si>
  <si>
    <t>Total for 2017</t>
  </si>
  <si>
    <t>Amount used for CDM threshold for LRAMVA (2017)</t>
  </si>
  <si>
    <t>Manual Adjustment for 2017Load Forecast (billed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</si>
</sst>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quot;$&quot;* #,##0_-;\-&quot;$&quot;* #,##0_-;_-&quot;$&quot;* &quot;-&quot;??_-;_-@_-"/>
    <numFmt numFmtId="170" formatCode="_-* #,##0_-;\-* #,##0_-;_-* &quot;-&quot;??_-;_-@_-"/>
    <numFmt numFmtId="171" formatCode="_-&quot;$&quot;* #,##0.0000_-;\-&quot;$&quot;* #,##0.0000_-;_-&quot;$&quot;* &quot;-&quot;??_-;_-@_-"/>
    <numFmt numFmtId="172" formatCode="[$-1009]mmmm\ d\,\ yyyy;@"/>
    <numFmt numFmtId="173" formatCode="\(#\)"/>
    <numFmt numFmtId="174" formatCode="&quot;$&quot;#,##0_);[Red]\(&quot;$&quot;#,##0\);&quot;$&quot;\ \-"/>
    <numFmt numFmtId="175" formatCode="#,##0_ ;\-#,##0\ "/>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_(&quot;$&quot;* #,##0_);_(&quot;$&quot;* \(#,##0\);_(&quot;$&quot;* &quot;-&quot;??_);_(@_)"/>
  </numFmts>
  <fonts count="8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indexed="12"/>
      <name val="Arial"/>
      <family val="2"/>
    </font>
    <font>
      <sz val="8"/>
      <name val="Arial"/>
      <family val="2"/>
    </font>
    <font>
      <b/>
      <sz val="10"/>
      <name val="Arial"/>
      <family val="2"/>
    </font>
    <font>
      <b/>
      <u/>
      <sz val="11"/>
      <name val="Arial"/>
      <family val="2"/>
    </font>
    <font>
      <b/>
      <sz val="12"/>
      <name val="Arial"/>
      <family val="2"/>
    </font>
    <font>
      <b/>
      <u/>
      <sz val="10"/>
      <name val="Arial"/>
      <family val="2"/>
    </font>
    <font>
      <b/>
      <sz val="14"/>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i/>
      <sz val="10"/>
      <name val="Arial"/>
      <family val="2"/>
    </font>
    <font>
      <sz val="10"/>
      <color indexed="10"/>
      <name val="Arial"/>
      <family val="2"/>
    </font>
    <font>
      <u/>
      <sz val="10"/>
      <name val="Arial"/>
      <family val="2"/>
    </font>
    <font>
      <b/>
      <sz val="11"/>
      <name val="Arial"/>
      <family val="2"/>
    </font>
    <font>
      <vertAlign val="superscript"/>
      <sz val="10"/>
      <name val="Arial"/>
      <family val="2"/>
    </font>
    <font>
      <b/>
      <sz val="10"/>
      <color indexed="10"/>
      <name val="Arial"/>
      <family val="2"/>
    </font>
    <font>
      <b/>
      <u/>
      <sz val="14"/>
      <color indexed="10"/>
      <name val="Arial"/>
      <family val="2"/>
    </font>
    <font>
      <sz val="9"/>
      <name val="Arial"/>
      <family val="2"/>
    </font>
    <font>
      <b/>
      <sz val="9"/>
      <name val="Arial"/>
      <family val="2"/>
    </font>
    <font>
      <sz val="9"/>
      <color theme="1"/>
      <name val="Arial"/>
      <family val="2"/>
    </font>
    <font>
      <b/>
      <sz val="9"/>
      <color theme="1"/>
      <name val="Arial"/>
      <family val="2"/>
    </font>
    <font>
      <b/>
      <sz val="10"/>
      <color rgb="FFFF0000"/>
      <name val="Arial"/>
      <family val="2"/>
    </font>
    <font>
      <b/>
      <i/>
      <sz val="9"/>
      <color rgb="FFFF0000"/>
      <name val="Arial"/>
      <family val="2"/>
    </font>
    <font>
      <sz val="10"/>
      <color rgb="FFFF0000"/>
      <name val="Arial"/>
      <family val="2"/>
    </font>
    <font>
      <b/>
      <i/>
      <sz val="11"/>
      <color theme="1"/>
      <name val="Calibri"/>
      <family val="2"/>
      <scheme val="minor"/>
    </font>
    <font>
      <i/>
      <sz val="11"/>
      <color theme="1"/>
      <name val="Calibri"/>
      <family val="2"/>
      <scheme val="minor"/>
    </font>
    <font>
      <sz val="10"/>
      <name val="Calibri"/>
      <family val="2"/>
      <scheme val="minor"/>
    </font>
    <font>
      <sz val="11"/>
      <name val="Calibri"/>
      <family val="2"/>
      <scheme val="minor"/>
    </font>
    <font>
      <b/>
      <i/>
      <sz val="9"/>
      <name val="Arial"/>
      <family val="2"/>
    </font>
    <font>
      <i/>
      <sz val="9"/>
      <name val="Arial"/>
      <family val="2"/>
    </font>
    <font>
      <i/>
      <sz val="12"/>
      <color theme="1"/>
      <name val="Calibri"/>
      <family val="2"/>
      <scheme val="minor"/>
    </font>
    <font>
      <b/>
      <sz val="14"/>
      <color theme="1"/>
      <name val="Calibri"/>
      <family val="2"/>
      <scheme val="minor"/>
    </font>
    <font>
      <sz val="10"/>
      <color theme="3" tint="0.39997558519241921"/>
      <name val="Arial"/>
      <family val="2"/>
    </font>
    <font>
      <b/>
      <sz val="10"/>
      <color theme="1"/>
      <name val="Arial"/>
      <family val="2"/>
    </font>
    <font>
      <b/>
      <sz val="8"/>
      <name val="Arial"/>
      <family val="2"/>
    </font>
    <font>
      <b/>
      <vertAlign val="superscript"/>
      <sz val="14"/>
      <name val="Arial"/>
      <family val="2"/>
    </font>
    <font>
      <b/>
      <i/>
      <sz val="14"/>
      <color theme="1"/>
      <name val="Calibri"/>
      <family val="2"/>
      <scheme val="minor"/>
    </font>
    <font>
      <b/>
      <sz val="11"/>
      <name val="Calibri"/>
      <family val="2"/>
      <scheme val="minor"/>
    </font>
    <font>
      <b/>
      <i/>
      <sz val="10"/>
      <color rgb="FFFF0000"/>
      <name val="Arial"/>
      <family val="2"/>
    </font>
    <font>
      <vertAlign val="superscript"/>
      <sz val="9"/>
      <name val="Arial"/>
      <family val="2"/>
    </font>
    <font>
      <b/>
      <vertAlign val="superscript"/>
      <sz val="9"/>
      <name val="Arial"/>
      <family val="2"/>
    </font>
    <font>
      <b/>
      <sz val="8"/>
      <color rgb="FFFF0000"/>
      <name val="Arial"/>
      <family val="2"/>
    </font>
    <font>
      <u/>
      <sz val="8"/>
      <name val="Arial"/>
      <family val="2"/>
    </font>
    <font>
      <u/>
      <sz val="11"/>
      <color indexed="12"/>
      <name val="Calibri"/>
      <family val="2"/>
      <scheme val="minor"/>
    </font>
    <font>
      <strike/>
      <sz val="11"/>
      <name val="Calibri"/>
      <family val="2"/>
      <scheme val="minor"/>
    </font>
    <font>
      <b/>
      <strike/>
      <sz val="11"/>
      <name val="Calibri"/>
      <family val="2"/>
      <scheme val="minor"/>
    </font>
    <font>
      <sz val="11"/>
      <color rgb="FF009242"/>
      <name val="Calibri"/>
      <family val="2"/>
      <scheme val="minor"/>
    </font>
    <font>
      <b/>
      <sz val="26"/>
      <color theme="1"/>
      <name val="Calibri"/>
      <family val="2"/>
      <scheme val="minor"/>
    </font>
    <font>
      <sz val="26"/>
      <color theme="1"/>
      <name val="Calibri"/>
      <family val="2"/>
      <scheme val="minor"/>
    </font>
    <font>
      <sz val="26"/>
      <color rgb="FF009242"/>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patternFill patternType="lightDown">
        <bgColor indexed="55"/>
      </patternFill>
    </fill>
    <fill>
      <patternFill patternType="lightDown">
        <bgColor theme="0" tint="-0.249977111117893"/>
      </patternFill>
    </fill>
    <fill>
      <patternFill patternType="lightDown">
        <bgColor theme="0" tint="-0.34998626667073579"/>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8" tint="0.79998168889431442"/>
        <bgColor indexed="64"/>
      </patternFill>
    </fill>
    <fill>
      <patternFill patternType="mediumGray">
        <bgColor theme="0"/>
      </patternFill>
    </fill>
  </fills>
  <borders count="1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right/>
      <top/>
      <bottom style="thin">
        <color theme="0"/>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top style="thin">
        <color theme="0"/>
      </top>
      <bottom style="thin">
        <color theme="0"/>
      </bottom>
      <diagonal/>
    </border>
    <border>
      <left/>
      <right style="double">
        <color indexed="64"/>
      </right>
      <top style="thin">
        <color theme="0"/>
      </top>
      <bottom/>
      <diagonal/>
    </border>
    <border>
      <left/>
      <right/>
      <top style="thin">
        <color theme="0"/>
      </top>
      <bottom/>
      <diagonal/>
    </border>
    <border>
      <left style="medium">
        <color indexed="64"/>
      </left>
      <right style="thin">
        <color indexed="64"/>
      </right>
      <top style="double">
        <color indexed="64"/>
      </top>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thin">
        <color indexed="64"/>
      </right>
      <top/>
      <bottom style="double">
        <color indexed="64"/>
      </bottom>
      <diagonal/>
    </border>
    <border>
      <left/>
      <right/>
      <top style="thin">
        <color theme="0"/>
      </top>
      <bottom style="double">
        <color indexed="64"/>
      </bottom>
      <diagonal/>
    </border>
    <border>
      <left/>
      <right style="thin">
        <color indexed="64"/>
      </right>
      <top style="double">
        <color indexed="64"/>
      </top>
      <bottom style="thin">
        <color indexed="64"/>
      </bottom>
      <diagonal/>
    </border>
  </borders>
  <cellStyleXfs count="202">
    <xf numFmtId="0" fontId="0" fillId="0" borderId="0"/>
    <xf numFmtId="0" fontId="18"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50" borderId="0" applyNumberFormat="0" applyBorder="0" applyAlignment="0" applyProtection="0"/>
    <xf numFmtId="0" fontId="30" fillId="34" borderId="0" applyNumberFormat="0" applyBorder="0" applyAlignment="0" applyProtection="0"/>
    <xf numFmtId="0" fontId="31" fillId="51" borderId="10" applyNumberFormat="0" applyAlignment="0" applyProtection="0"/>
    <xf numFmtId="0" fontId="32" fillId="52" borderId="11" applyNumberFormat="0" applyAlignment="0" applyProtection="0"/>
    <xf numFmtId="167" fontId="19" fillId="0" borderId="0" applyFont="0" applyFill="0" applyBorder="0" applyAlignment="0" applyProtection="0"/>
    <xf numFmtId="166" fontId="19" fillId="0" borderId="0" applyFont="0" applyFill="0" applyBorder="0" applyAlignment="0" applyProtection="0"/>
    <xf numFmtId="0" fontId="33" fillId="0" borderId="0" applyNumberFormat="0" applyFill="0" applyBorder="0" applyAlignment="0" applyProtection="0"/>
    <xf numFmtId="0" fontId="34" fillId="35"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0"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53" borderId="0" applyNumberFormat="0" applyBorder="0" applyAlignment="0" applyProtection="0"/>
    <xf numFmtId="0" fontId="19" fillId="54" borderId="16"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77" fontId="19" fillId="0" borderId="0"/>
    <xf numFmtId="178" fontId="19" fillId="0" borderId="0"/>
    <xf numFmtId="177" fontId="19" fillId="0" borderId="0"/>
    <xf numFmtId="177" fontId="19" fillId="0" borderId="0"/>
    <xf numFmtId="177" fontId="19" fillId="0" borderId="0"/>
    <xf numFmtId="177" fontId="19" fillId="0" borderId="0"/>
    <xf numFmtId="179" fontId="19" fillId="0" borderId="0"/>
    <xf numFmtId="180" fontId="19" fillId="0" borderId="0"/>
    <xf numFmtId="179" fontId="19" fillId="0" borderId="0"/>
    <xf numFmtId="3"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38" fontId="21" fillId="57" borderId="0" applyNumberFormat="0" applyBorder="0" applyAlignment="0" applyProtection="0"/>
    <xf numFmtId="10" fontId="21" fillId="69" borderId="19" applyNumberFormat="0" applyBorder="0" applyAlignment="0" applyProtection="0"/>
    <xf numFmtId="181" fontId="19" fillId="0" borderId="0"/>
    <xf numFmtId="182" fontId="19" fillId="0" borderId="0"/>
    <xf numFmtId="181" fontId="19" fillId="0" borderId="0"/>
    <xf numFmtId="181" fontId="19" fillId="0" borderId="0"/>
    <xf numFmtId="181" fontId="19" fillId="0" borderId="0"/>
    <xf numFmtId="181" fontId="19" fillId="0" borderId="0"/>
    <xf numFmtId="183" fontId="19" fillId="0" borderId="0"/>
    <xf numFmtId="10" fontId="19"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166"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8" fillId="0" borderId="0"/>
    <xf numFmtId="0" fontId="38" fillId="38" borderId="10" applyNumberFormat="0" applyAlignment="0" applyProtection="0"/>
    <xf numFmtId="9" fontId="19" fillId="0" borderId="0" applyFont="0" applyFill="0" applyBorder="0" applyAlignment="0" applyProtection="0"/>
    <xf numFmtId="0" fontId="38" fillId="38" borderId="10" applyNumberFormat="0" applyAlignment="0" applyProtection="0"/>
    <xf numFmtId="9" fontId="19" fillId="0" borderId="0" applyFont="0" applyFill="0" applyBorder="0" applyAlignment="0" applyProtection="0"/>
    <xf numFmtId="0" fontId="38" fillId="38" borderId="1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38" fillId="38" borderId="10" applyNumberFormat="0" applyAlignment="0" applyProtection="0"/>
    <xf numFmtId="0" fontId="18" fillId="0" borderId="0"/>
    <xf numFmtId="0" fontId="38" fillId="38" borderId="10" applyNumberFormat="0" applyAlignment="0" applyProtection="0"/>
    <xf numFmtId="0" fontId="18" fillId="0" borderId="0"/>
    <xf numFmtId="0" fontId="18" fillId="0" borderId="0"/>
    <xf numFmtId="0" fontId="38" fillId="38" borderId="10" applyNumberFormat="0" applyAlignment="0" applyProtection="0"/>
    <xf numFmtId="0" fontId="38" fillId="38" borderId="10" applyNumberFormat="0" applyAlignment="0" applyProtection="0"/>
    <xf numFmtId="0" fontId="18" fillId="0" borderId="0"/>
    <xf numFmtId="0" fontId="18" fillId="0" borderId="0"/>
    <xf numFmtId="0" fontId="18"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0" fontId="38" fillId="38" borderId="10" applyNumberFormat="0" applyAlignment="0" applyProtection="0"/>
    <xf numFmtId="0" fontId="38" fillId="38" borderId="1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38" fillId="38" borderId="10" applyNumberFormat="0" applyAlignment="0" applyProtection="0"/>
    <xf numFmtId="9" fontId="19" fillId="0" borderId="0" applyFont="0" applyFill="0" applyBorder="0" applyAlignment="0" applyProtection="0"/>
    <xf numFmtId="0" fontId="18" fillId="0" borderId="0"/>
    <xf numFmtId="0" fontId="38" fillId="38" borderId="10" applyNumberFormat="0" applyAlignment="0" applyProtection="0"/>
    <xf numFmtId="0" fontId="18" fillId="0" borderId="0"/>
    <xf numFmtId="0" fontId="18"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9" fontId="19" fillId="0" borderId="0" applyFont="0" applyFill="0" applyBorder="0" applyAlignment="0" applyProtection="0"/>
    <xf numFmtId="0" fontId="38" fillId="38" borderId="10" applyNumberFormat="0" applyAlignment="0" applyProtection="0"/>
    <xf numFmtId="9" fontId="19" fillId="0" borderId="0" applyFont="0" applyFill="0" applyBorder="0" applyAlignment="0" applyProtection="0"/>
    <xf numFmtId="0" fontId="38" fillId="38" borderId="10" applyNumberFormat="0" applyAlignment="0" applyProtection="0"/>
    <xf numFmtId="0" fontId="38" fillId="38" borderId="10" applyNumberFormat="0" applyAlignment="0" applyProtection="0"/>
    <xf numFmtId="9" fontId="19" fillId="0" borderId="0" applyFont="0" applyFill="0" applyBorder="0" applyAlignment="0" applyProtection="0"/>
    <xf numFmtId="0" fontId="38" fillId="38" borderId="10" applyNumberFormat="0" applyAlignment="0" applyProtection="0"/>
    <xf numFmtId="0" fontId="18" fillId="0" borderId="0"/>
    <xf numFmtId="9" fontId="19" fillId="0" borderId="0" applyFont="0" applyFill="0" applyBorder="0" applyAlignment="0" applyProtection="0"/>
    <xf numFmtId="0" fontId="38" fillId="38" borderId="10" applyNumberFormat="0" applyAlignment="0" applyProtection="0"/>
    <xf numFmtId="0" fontId="18" fillId="0" borderId="0"/>
    <xf numFmtId="0" fontId="38" fillId="38" borderId="10" applyNumberFormat="0" applyAlignment="0" applyProtection="0"/>
    <xf numFmtId="9" fontId="19" fillId="0" borderId="0" applyFont="0" applyFill="0" applyBorder="0" applyAlignment="0" applyProtection="0"/>
    <xf numFmtId="0" fontId="19" fillId="0" borderId="0"/>
    <xf numFmtId="0" fontId="18" fillId="0" borderId="0"/>
    <xf numFmtId="0" fontId="18" fillId="0" borderId="0"/>
    <xf numFmtId="0" fontId="38" fillId="38" borderId="10" applyNumberFormat="0" applyAlignment="0" applyProtection="0"/>
    <xf numFmtId="0" fontId="38" fillId="38" borderId="10" applyNumberFormat="0" applyAlignment="0" applyProtection="0"/>
    <xf numFmtId="0" fontId="38" fillId="38" borderId="10" applyNumberFormat="0" applyAlignment="0" applyProtection="0"/>
    <xf numFmtId="0" fontId="18" fillId="0" borderId="0"/>
    <xf numFmtId="9" fontId="19" fillId="0" borderId="0" applyFont="0" applyFill="0" applyBorder="0" applyAlignment="0" applyProtection="0"/>
    <xf numFmtId="0" fontId="18"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9" fontId="19" fillId="0" borderId="0" applyFont="0" applyFill="0" applyBorder="0" applyAlignment="0" applyProtection="0"/>
    <xf numFmtId="9" fontId="19" fillId="0" borderId="0" applyFont="0" applyFill="0" applyBorder="0" applyAlignment="0" applyProtection="0"/>
    <xf numFmtId="0" fontId="38" fillId="38" borderId="10" applyNumberFormat="0" applyAlignment="0" applyProtection="0"/>
    <xf numFmtId="0" fontId="1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29">
    <xf numFmtId="0" fontId="0" fillId="0" borderId="0" xfId="0"/>
    <xf numFmtId="0" fontId="18" fillId="0" borderId="0" xfId="1"/>
    <xf numFmtId="0" fontId="22" fillId="0" borderId="0" xfId="1" applyFont="1" applyProtection="1">
      <protection locked="0"/>
    </xf>
    <xf numFmtId="0" fontId="21" fillId="0" borderId="0" xfId="1" applyFont="1" applyAlignment="1" applyProtection="1">
      <alignment horizontal="right" vertical="top"/>
      <protection locked="0"/>
    </xf>
    <xf numFmtId="0" fontId="21" fillId="59" borderId="102" xfId="1" applyFont="1" applyFill="1" applyBorder="1" applyAlignment="1" applyProtection="1">
      <alignment horizontal="right" vertical="top"/>
      <protection locked="0"/>
    </xf>
    <xf numFmtId="0" fontId="21" fillId="59" borderId="0" xfId="1" applyFont="1" applyFill="1" applyAlignment="1" applyProtection="1">
      <alignment horizontal="right" vertical="top"/>
      <protection locked="0"/>
    </xf>
    <xf numFmtId="0" fontId="26" fillId="0" borderId="0" xfId="1" applyFont="1" applyAlignment="1" applyProtection="1">
      <protection locked="0"/>
    </xf>
    <xf numFmtId="0" fontId="22" fillId="0" borderId="59" xfId="1" applyFont="1" applyFill="1" applyBorder="1" applyProtection="1">
      <protection locked="0"/>
    </xf>
    <xf numFmtId="0" fontId="22" fillId="0" borderId="33" xfId="1" applyFont="1" applyFill="1" applyBorder="1" applyAlignment="1" applyProtection="1">
      <alignment horizontal="center" vertical="center" wrapText="1"/>
      <protection locked="0"/>
    </xf>
    <xf numFmtId="0" fontId="22" fillId="0" borderId="25" xfId="1" applyFont="1" applyFill="1" applyBorder="1" applyProtection="1">
      <protection locked="0"/>
    </xf>
    <xf numFmtId="0" fontId="22" fillId="58" borderId="28" xfId="1" applyFont="1" applyFill="1" applyBorder="1" applyAlignment="1" applyProtection="1">
      <alignment horizontal="center"/>
      <protection locked="0"/>
    </xf>
    <xf numFmtId="0" fontId="22" fillId="59" borderId="42" xfId="1" applyFont="1" applyFill="1" applyBorder="1" applyProtection="1">
      <protection locked="0"/>
    </xf>
    <xf numFmtId="3" fontId="18" fillId="0" borderId="19" xfId="30" applyNumberFormat="1" applyFont="1" applyFill="1" applyBorder="1" applyProtection="1">
      <protection locked="0"/>
    </xf>
    <xf numFmtId="3" fontId="18" fillId="59" borderId="20" xfId="30" applyNumberFormat="1" applyFont="1" applyFill="1" applyBorder="1" applyProtection="1">
      <protection locked="0"/>
    </xf>
    <xf numFmtId="3" fontId="18" fillId="59" borderId="19" xfId="30" applyNumberFormat="1" applyFont="1" applyFill="1" applyBorder="1" applyProtection="1">
      <protection locked="0"/>
    </xf>
    <xf numFmtId="3" fontId="18" fillId="59" borderId="26" xfId="30" applyNumberFormat="1" applyFont="1" applyFill="1" applyBorder="1" applyProtection="1">
      <protection locked="0"/>
    </xf>
    <xf numFmtId="0" fontId="22" fillId="0" borderId="42" xfId="1" applyFont="1" applyFill="1" applyBorder="1" applyProtection="1">
      <protection locked="0"/>
    </xf>
    <xf numFmtId="3" fontId="18" fillId="0" borderId="19" xfId="1" applyNumberFormat="1" applyFill="1" applyBorder="1" applyProtection="1">
      <protection locked="0"/>
    </xf>
    <xf numFmtId="0" fontId="22" fillId="59" borderId="42" xfId="1" applyFont="1" applyFill="1" applyBorder="1" applyAlignment="1" applyProtection="1">
      <alignment wrapText="1"/>
      <protection locked="0"/>
    </xf>
    <xf numFmtId="3" fontId="18" fillId="0" borderId="28" xfId="30" applyNumberFormat="1" applyFont="1" applyFill="1" applyBorder="1" applyProtection="1">
      <protection locked="0"/>
    </xf>
    <xf numFmtId="0" fontId="22" fillId="0" borderId="114" xfId="1" applyFont="1" applyFill="1" applyBorder="1" applyProtection="1">
      <protection locked="0"/>
    </xf>
    <xf numFmtId="3" fontId="22" fillId="0" borderId="66" xfId="1" applyNumberFormat="1" applyFont="1" applyFill="1" applyBorder="1" applyProtection="1">
      <protection locked="0"/>
    </xf>
    <xf numFmtId="0" fontId="22" fillId="0" borderId="19" xfId="1" applyFont="1" applyBorder="1" applyAlignment="1" applyProtection="1">
      <alignment vertical="top" wrapText="1"/>
      <protection locked="0"/>
    </xf>
    <xf numFmtId="0" fontId="22" fillId="0" borderId="66" xfId="1" applyFont="1" applyFill="1" applyBorder="1" applyProtection="1">
      <protection locked="0"/>
    </xf>
    <xf numFmtId="0" fontId="46" fillId="0" borderId="0" xfId="1" applyFont="1" applyAlignment="1" applyProtection="1">
      <alignment horizontal="left" vertical="top"/>
      <protection locked="0"/>
    </xf>
    <xf numFmtId="0" fontId="19" fillId="0" borderId="0" xfId="1" applyFont="1" applyProtection="1">
      <protection locked="0"/>
    </xf>
    <xf numFmtId="170" fontId="18" fillId="59" borderId="19" xfId="29" applyNumberFormat="1" applyFont="1" applyFill="1" applyBorder="1" applyProtection="1">
      <protection locked="0"/>
    </xf>
    <xf numFmtId="3" fontId="18" fillId="0" borderId="28" xfId="1" applyNumberFormat="1" applyFill="1" applyBorder="1" applyProtection="1">
      <protection locked="0"/>
    </xf>
    <xf numFmtId="167" fontId="18" fillId="59" borderId="19" xfId="29" applyFont="1" applyFill="1" applyBorder="1" applyProtection="1">
      <protection locked="0"/>
    </xf>
    <xf numFmtId="0" fontId="19" fillId="0" borderId="0" xfId="1" applyFont="1" applyAlignment="1" applyProtection="1">
      <alignment horizontal="left" vertical="top" wrapText="1"/>
      <protection locked="0"/>
    </xf>
    <xf numFmtId="170" fontId="18" fillId="59" borderId="26" xfId="29" applyNumberFormat="1" applyFont="1" applyFill="1" applyBorder="1" applyProtection="1">
      <protection locked="0"/>
    </xf>
    <xf numFmtId="170" fontId="18" fillId="59" borderId="20" xfId="29" applyNumberFormat="1" applyFont="1" applyFill="1" applyBorder="1" applyProtection="1">
      <protection locked="0"/>
    </xf>
    <xf numFmtId="3" fontId="18" fillId="0" borderId="0" xfId="1" applyNumberFormat="1" applyProtection="1">
      <protection locked="0"/>
    </xf>
    <xf numFmtId="0" fontId="73" fillId="0" borderId="0" xfId="191" applyFont="1" applyAlignment="1"/>
    <xf numFmtId="0" fontId="18" fillId="0" borderId="0" xfId="136"/>
    <xf numFmtId="0" fontId="22" fillId="0" borderId="0" xfId="136" applyFont="1" applyProtection="1">
      <protection locked="0"/>
    </xf>
    <xf numFmtId="0" fontId="21" fillId="0" borderId="0" xfId="136" applyFont="1" applyAlignment="1" applyProtection="1">
      <alignment horizontal="right" vertical="top"/>
      <protection locked="0"/>
    </xf>
    <xf numFmtId="0" fontId="21" fillId="59" borderId="102" xfId="136" applyFont="1" applyFill="1" applyBorder="1" applyAlignment="1" applyProtection="1">
      <alignment horizontal="right" vertical="top"/>
      <protection locked="0"/>
    </xf>
    <xf numFmtId="0" fontId="21" fillId="59" borderId="0" xfId="136" applyFont="1" applyFill="1" applyAlignment="1" applyProtection="1">
      <alignment horizontal="right" vertical="top"/>
      <protection locked="0"/>
    </xf>
    <xf numFmtId="0" fontId="19" fillId="0" borderId="0" xfId="136" applyFont="1" applyProtection="1">
      <protection locked="0"/>
    </xf>
    <xf numFmtId="0" fontId="22" fillId="0" borderId="0" xfId="136" applyFont="1" applyAlignment="1" applyProtection="1">
      <alignment horizontal="right" vertical="center"/>
      <protection locked="0"/>
    </xf>
    <xf numFmtId="0" fontId="66" fillId="0" borderId="0" xfId="136" applyFont="1" applyAlignment="1" applyProtection="1">
      <alignment horizontal="center" vertical="center"/>
      <protection locked="0"/>
    </xf>
    <xf numFmtId="0" fontId="19" fillId="0" borderId="0" xfId="136" applyFont="1" applyFill="1" applyProtection="1">
      <protection locked="0"/>
    </xf>
    <xf numFmtId="0" fontId="54" fillId="0" borderId="40" xfId="136" applyFont="1" applyFill="1" applyBorder="1" applyAlignment="1" applyProtection="1">
      <alignment horizontal="center" vertical="center" wrapText="1"/>
      <protection locked="0"/>
    </xf>
    <xf numFmtId="0" fontId="54" fillId="0" borderId="52" xfId="136" applyFont="1" applyFill="1" applyBorder="1" applyAlignment="1" applyProtection="1">
      <alignment horizontal="center" vertical="center" wrapText="1"/>
      <protection locked="0"/>
    </xf>
    <xf numFmtId="0" fontId="24" fillId="0" borderId="122" xfId="136" applyFont="1" applyFill="1" applyBorder="1" applyAlignment="1" applyProtection="1">
      <alignment horizontal="right" vertical="center" wrapText="1" indent="1"/>
      <protection locked="0"/>
    </xf>
    <xf numFmtId="0" fontId="16" fillId="0" borderId="0" xfId="136" applyFont="1" applyProtection="1">
      <protection locked="0"/>
    </xf>
    <xf numFmtId="0" fontId="18" fillId="0" borderId="0" xfId="136" applyFill="1" applyBorder="1" applyProtection="1">
      <protection locked="0"/>
    </xf>
    <xf numFmtId="164" fontId="19" fillId="59" borderId="123" xfId="136" applyNumberFormat="1" applyFont="1" applyFill="1" applyBorder="1" applyAlignment="1" applyProtection="1">
      <alignment horizontal="center" vertical="center" wrapText="1"/>
      <protection locked="0"/>
    </xf>
    <xf numFmtId="164" fontId="19" fillId="59" borderId="124" xfId="136" applyNumberFormat="1" applyFont="1" applyFill="1" applyBorder="1" applyAlignment="1" applyProtection="1">
      <alignment horizontal="center" vertical="center" wrapText="1"/>
      <protection locked="0"/>
    </xf>
    <xf numFmtId="0" fontId="54" fillId="0" borderId="119" xfId="136" applyFont="1" applyFill="1" applyBorder="1" applyAlignment="1" applyProtection="1">
      <alignment horizontal="right" vertical="center" wrapText="1" indent="1"/>
      <protection locked="0"/>
    </xf>
    <xf numFmtId="49" fontId="53" fillId="59" borderId="40" xfId="136" applyNumberFormat="1" applyFont="1" applyFill="1" applyBorder="1" applyAlignment="1" applyProtection="1">
      <alignment horizontal="center" vertical="center" wrapText="1"/>
      <protection locked="0"/>
    </xf>
    <xf numFmtId="165" fontId="53" fillId="59" borderId="40" xfId="136" applyNumberFormat="1" applyFont="1" applyFill="1" applyBorder="1" applyAlignment="1" applyProtection="1">
      <alignment horizontal="center" vertical="center" wrapText="1"/>
      <protection locked="0"/>
    </xf>
    <xf numFmtId="165" fontId="53" fillId="59" borderId="52" xfId="136" applyNumberFormat="1" applyFont="1" applyFill="1" applyBorder="1" applyAlignment="1" applyProtection="1">
      <alignment horizontal="center" vertical="center" wrapText="1"/>
      <protection locked="0"/>
    </xf>
    <xf numFmtId="0" fontId="54" fillId="0" borderId="120" xfId="136" applyFont="1" applyFill="1" applyBorder="1" applyAlignment="1" applyProtection="1">
      <alignment horizontal="right" vertical="center" wrapText="1" indent="1"/>
      <protection locked="0"/>
    </xf>
    <xf numFmtId="165" fontId="53" fillId="0" borderId="65" xfId="136" applyNumberFormat="1" applyFont="1" applyFill="1" applyBorder="1" applyAlignment="1" applyProtection="1">
      <alignment horizontal="center" vertical="center" wrapText="1"/>
      <protection locked="0"/>
    </xf>
    <xf numFmtId="165" fontId="53" fillId="0" borderId="121" xfId="136" applyNumberFormat="1" applyFont="1" applyFill="1" applyBorder="1" applyAlignment="1" applyProtection="1">
      <alignment horizontal="center" vertical="center" wrapText="1"/>
      <protection locked="0"/>
    </xf>
    <xf numFmtId="0" fontId="18" fillId="0" borderId="0" xfId="153"/>
    <xf numFmtId="0" fontId="18" fillId="58" borderId="0" xfId="153" applyNumberFormat="1" applyFill="1" applyBorder="1" applyAlignment="1" applyProtection="1">
      <alignment horizontal="center" vertical="center"/>
      <protection locked="0"/>
    </xf>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Protection="1">
      <protection locked="0"/>
    </xf>
    <xf numFmtId="0" fontId="19" fillId="59" borderId="19" xfId="47" applyFill="1" applyBorder="1" applyAlignment="1" applyProtection="1">
      <alignment horizontal="center" vertical="center"/>
      <protection locked="0"/>
    </xf>
    <xf numFmtId="0" fontId="19" fillId="0" borderId="0" xfId="47" applyFont="1" applyProtection="1">
      <protection locked="0"/>
    </xf>
    <xf numFmtId="0" fontId="21" fillId="0" borderId="0" xfId="153" applyFont="1" applyAlignment="1" applyProtection="1">
      <alignment horizontal="right" vertical="top"/>
      <protection locked="0"/>
    </xf>
    <xf numFmtId="0" fontId="22" fillId="0" borderId="0" xfId="47" applyFont="1" applyAlignment="1" applyProtection="1">
      <alignment horizontal="right"/>
      <protection locked="0"/>
    </xf>
    <xf numFmtId="0" fontId="19" fillId="0" borderId="0" xfId="47" applyFont="1" applyAlignment="1" applyProtection="1">
      <alignment horizontal="left"/>
      <protection locked="0"/>
    </xf>
    <xf numFmtId="0" fontId="22" fillId="0" borderId="0" xfId="47" applyFont="1" applyProtection="1">
      <protection locked="0"/>
    </xf>
    <xf numFmtId="0" fontId="19" fillId="0" borderId="0" xfId="47" applyBorder="1" applyProtection="1">
      <protection locked="0"/>
    </xf>
    <xf numFmtId="0" fontId="49" fillId="59" borderId="0" xfId="47" applyFont="1" applyFill="1" applyAlignment="1" applyProtection="1">
      <protection locked="0"/>
    </xf>
    <xf numFmtId="0" fontId="23" fillId="0" borderId="0" xfId="47" applyFont="1" applyAlignment="1" applyProtection="1">
      <alignment horizontal="center"/>
      <protection locked="0"/>
    </xf>
    <xf numFmtId="0" fontId="19" fillId="55" borderId="83" xfId="47" applyFill="1" applyBorder="1" applyProtection="1">
      <protection locked="0"/>
    </xf>
    <xf numFmtId="0" fontId="22" fillId="55" borderId="22" xfId="47" applyFont="1" applyFill="1" applyBorder="1" applyAlignment="1" applyProtection="1">
      <protection locked="0"/>
    </xf>
    <xf numFmtId="0" fontId="22" fillId="55" borderId="42" xfId="47" applyFont="1" applyFill="1" applyBorder="1" applyAlignment="1" applyProtection="1">
      <protection locked="0"/>
    </xf>
    <xf numFmtId="0" fontId="22" fillId="55" borderId="19" xfId="47" applyFont="1" applyFill="1" applyBorder="1" applyAlignment="1" applyProtection="1">
      <alignment horizontal="center" wrapText="1"/>
      <protection locked="0"/>
    </xf>
    <xf numFmtId="0" fontId="22" fillId="55" borderId="19" xfId="47" applyFont="1" applyFill="1" applyBorder="1" applyProtection="1">
      <protection locked="0"/>
    </xf>
    <xf numFmtId="0" fontId="22" fillId="55" borderId="19" xfId="47" applyFont="1" applyFill="1" applyBorder="1" applyAlignment="1" applyProtection="1">
      <alignment horizontal="center"/>
      <protection locked="0"/>
    </xf>
    <xf numFmtId="0" fontId="19" fillId="55" borderId="20" xfId="47" applyFill="1" applyBorder="1" applyProtection="1">
      <protection locked="0"/>
    </xf>
    <xf numFmtId="0" fontId="22" fillId="55" borderId="25" xfId="47" applyFont="1" applyFill="1" applyBorder="1" applyAlignment="1" applyProtection="1">
      <alignment horizontal="center" wrapText="1"/>
      <protection locked="0"/>
    </xf>
    <xf numFmtId="0" fontId="22" fillId="55" borderId="28" xfId="47" applyFont="1" applyFill="1" applyBorder="1" applyAlignment="1" applyProtection="1">
      <alignment horizontal="center"/>
      <protection locked="0"/>
    </xf>
    <xf numFmtId="0" fontId="22" fillId="55" borderId="28" xfId="47" applyFont="1" applyFill="1" applyBorder="1" applyAlignment="1" applyProtection="1">
      <alignment horizontal="center" wrapText="1"/>
      <protection locked="0"/>
    </xf>
    <xf numFmtId="0" fontId="19" fillId="0" borderId="19" xfId="47" applyFont="1" applyBorder="1" applyAlignment="1" applyProtection="1">
      <alignment vertical="center" wrapText="1"/>
      <protection locked="0"/>
    </xf>
    <xf numFmtId="169" fontId="18" fillId="59" borderId="19" xfId="126" applyNumberFormat="1" applyFont="1" applyFill="1" applyBorder="1" applyProtection="1">
      <protection locked="0"/>
    </xf>
    <xf numFmtId="169" fontId="18" fillId="0" borderId="19" xfId="126" applyNumberFormat="1" applyFont="1" applyBorder="1" applyProtection="1">
      <protection locked="0"/>
    </xf>
    <xf numFmtId="0" fontId="19" fillId="0" borderId="20" xfId="47" applyBorder="1" applyProtection="1">
      <protection locked="0"/>
    </xf>
    <xf numFmtId="169" fontId="19" fillId="0" borderId="19" xfId="47" applyNumberFormat="1" applyBorder="1" applyProtection="1">
      <protection locked="0"/>
    </xf>
    <xf numFmtId="0" fontId="19" fillId="0" borderId="19" xfId="47" applyFill="1" applyBorder="1" applyAlignment="1" applyProtection="1">
      <alignment horizontal="center" vertical="center"/>
      <protection locked="0"/>
    </xf>
    <xf numFmtId="0" fontId="19" fillId="0" borderId="19" xfId="47" applyFill="1" applyBorder="1" applyAlignment="1" applyProtection="1">
      <alignment vertical="center" wrapText="1"/>
      <protection locked="0"/>
    </xf>
    <xf numFmtId="0" fontId="19" fillId="0" borderId="19" xfId="47" applyBorder="1" applyAlignment="1" applyProtection="1">
      <alignment vertical="center" wrapText="1"/>
      <protection locked="0"/>
    </xf>
    <xf numFmtId="0" fontId="19" fillId="0" borderId="19" xfId="47" applyFont="1" applyFill="1" applyBorder="1" applyAlignment="1" applyProtection="1">
      <alignment horizontal="center" vertical="center"/>
      <protection locked="0"/>
    </xf>
    <xf numFmtId="0" fontId="19" fillId="59" borderId="19" xfId="47" applyFont="1" applyFill="1" applyBorder="1" applyAlignment="1" applyProtection="1">
      <alignment horizontal="center" vertical="center"/>
      <protection locked="0"/>
    </xf>
    <xf numFmtId="0" fontId="19" fillId="0" borderId="19" xfId="47" applyFont="1" applyFill="1" applyBorder="1" applyAlignment="1" applyProtection="1">
      <alignment vertical="center" wrapText="1"/>
      <protection locked="0"/>
    </xf>
    <xf numFmtId="0" fontId="19" fillId="0" borderId="19" xfId="47" applyFont="1" applyBorder="1" applyAlignment="1" applyProtection="1">
      <alignment horizontal="center" vertical="center"/>
      <protection locked="0"/>
    </xf>
    <xf numFmtId="0" fontId="19" fillId="59" borderId="0" xfId="47" applyFill="1" applyAlignment="1" applyProtection="1">
      <alignment horizontal="center"/>
      <protection locked="0"/>
    </xf>
    <xf numFmtId="0" fontId="19" fillId="0" borderId="19" xfId="47" applyBorder="1" applyAlignment="1" applyProtection="1">
      <alignment horizontal="center"/>
      <protection locked="0"/>
    </xf>
    <xf numFmtId="0" fontId="19" fillId="0" borderId="19" xfId="47" applyBorder="1" applyProtection="1">
      <protection locked="0"/>
    </xf>
    <xf numFmtId="0" fontId="19" fillId="59" borderId="19" xfId="47" applyFill="1" applyBorder="1" applyProtection="1">
      <protection locked="0"/>
    </xf>
    <xf numFmtId="0" fontId="22" fillId="0" borderId="19" xfId="47" applyFont="1" applyBorder="1" applyProtection="1">
      <protection locked="0"/>
    </xf>
    <xf numFmtId="169" fontId="22" fillId="0" borderId="19" xfId="47" applyNumberFormat="1" applyFont="1" applyBorder="1" applyProtection="1">
      <protection locked="0"/>
    </xf>
    <xf numFmtId="0" fontId="22" fillId="0" borderId="19" xfId="47" applyFont="1" applyBorder="1" applyAlignment="1" applyProtection="1">
      <alignment vertical="center" wrapText="1"/>
      <protection locked="0"/>
    </xf>
    <xf numFmtId="0" fontId="46" fillId="0" borderId="19" xfId="47" applyFont="1" applyBorder="1" applyAlignment="1" applyProtection="1">
      <alignment vertical="top" wrapText="1"/>
      <protection locked="0"/>
    </xf>
    <xf numFmtId="0" fontId="19" fillId="0" borderId="0" xfId="47" applyFill="1" applyBorder="1" applyProtection="1">
      <protection locked="0"/>
    </xf>
    <xf numFmtId="169" fontId="18" fillId="0" borderId="0" xfId="126" applyNumberFormat="1" applyFont="1" applyFill="1" applyBorder="1" applyProtection="1">
      <protection locked="0"/>
    </xf>
    <xf numFmtId="169" fontId="19" fillId="0" borderId="0" xfId="47" applyNumberFormat="1" applyFill="1" applyBorder="1" applyProtection="1">
      <protection locked="0"/>
    </xf>
    <xf numFmtId="0" fontId="19" fillId="0" borderId="0" xfId="47" applyFont="1" applyAlignment="1" applyProtection="1">
      <protection locked="0"/>
    </xf>
    <xf numFmtId="0" fontId="22" fillId="0" borderId="0" xfId="47" applyFont="1" applyFill="1" applyBorder="1" applyAlignment="1" applyProtection="1">
      <protection locked="0"/>
    </xf>
    <xf numFmtId="169" fontId="18" fillId="0" borderId="22" xfId="126" applyNumberFormat="1" applyFont="1" applyBorder="1" applyProtection="1">
      <protection locked="0"/>
    </xf>
    <xf numFmtId="15" fontId="19" fillId="0" borderId="0" xfId="47" applyNumberFormat="1" applyProtection="1">
      <protection locked="0"/>
    </xf>
    <xf numFmtId="0" fontId="46" fillId="0" borderId="0" xfId="47" applyFont="1" applyAlignment="1" applyProtection="1">
      <alignment horizontal="center"/>
      <protection locked="0"/>
    </xf>
    <xf numFmtId="0" fontId="19" fillId="0" borderId="0" xfId="47" applyAlignment="1" applyProtection="1">
      <alignment horizontal="left"/>
      <protection locked="0"/>
    </xf>
    <xf numFmtId="170" fontId="19" fillId="59" borderId="19" xfId="29" applyNumberFormat="1" applyFill="1" applyBorder="1" applyProtection="1">
      <protection locked="0"/>
    </xf>
    <xf numFmtId="0" fontId="19" fillId="0" borderId="19" xfId="47" applyBorder="1" applyAlignment="1" applyProtection="1">
      <alignment horizontal="center" vertical="center"/>
      <protection locked="0"/>
    </xf>
    <xf numFmtId="0" fontId="19" fillId="0" borderId="19" xfId="47" applyBorder="1" applyAlignment="1" applyProtection="1">
      <alignment horizontal="left" vertical="center"/>
      <protection locked="0"/>
    </xf>
    <xf numFmtId="0" fontId="19" fillId="0" borderId="0" xfId="47" applyAlignment="1" applyProtection="1">
      <alignment horizontal="center"/>
      <protection locked="0"/>
    </xf>
    <xf numFmtId="0" fontId="21" fillId="0" borderId="0" xfId="47" applyFont="1" applyAlignment="1" applyProtection="1">
      <alignment horizontal="right" vertical="top"/>
      <protection locked="0"/>
    </xf>
    <xf numFmtId="0" fontId="19" fillId="0" borderId="0" xfId="47" applyAlignment="1" applyProtection="1">
      <protection locked="0"/>
    </xf>
    <xf numFmtId="0" fontId="19" fillId="59" borderId="19" xfId="47" applyFill="1" applyBorder="1" applyAlignment="1" applyProtection="1">
      <alignment horizontal="center"/>
      <protection locked="0"/>
    </xf>
    <xf numFmtId="0" fontId="18" fillId="0" borderId="0" xfId="152"/>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Font="1" applyProtection="1">
      <protection locked="0"/>
    </xf>
    <xf numFmtId="0" fontId="21" fillId="0" borderId="0" xfId="152" applyFont="1" applyAlignment="1" applyProtection="1">
      <alignment horizontal="right" vertical="top"/>
      <protection locked="0"/>
    </xf>
    <xf numFmtId="0" fontId="22" fillId="0" borderId="0" xfId="47" applyFont="1" applyProtection="1">
      <protection locked="0"/>
    </xf>
    <xf numFmtId="0" fontId="22" fillId="0" borderId="0" xfId="47" applyFont="1" applyFill="1" applyProtection="1">
      <protection locked="0"/>
    </xf>
    <xf numFmtId="0" fontId="19" fillId="0" borderId="0" xfId="47" applyFill="1" applyProtection="1">
      <protection locked="0"/>
    </xf>
    <xf numFmtId="0" fontId="19" fillId="0" borderId="19" xfId="47" applyFont="1" applyBorder="1" applyAlignment="1" applyProtection="1">
      <alignment vertical="center" wrapText="1"/>
      <protection locked="0"/>
    </xf>
    <xf numFmtId="169" fontId="18" fillId="59" borderId="19" xfId="126" applyNumberFormat="1" applyFont="1" applyFill="1" applyBorder="1" applyProtection="1">
      <protection locked="0"/>
    </xf>
    <xf numFmtId="0" fontId="19" fillId="0" borderId="19" xfId="47" applyFill="1" applyBorder="1" applyAlignment="1" applyProtection="1">
      <alignment vertical="center" wrapText="1"/>
      <protection locked="0"/>
    </xf>
    <xf numFmtId="0" fontId="19" fillId="0" borderId="19" xfId="47" applyBorder="1" applyAlignment="1" applyProtection="1">
      <alignment vertical="center" wrapText="1"/>
      <protection locked="0"/>
    </xf>
    <xf numFmtId="0" fontId="19" fillId="0" borderId="19" xfId="47" applyFont="1" applyFill="1" applyBorder="1" applyAlignment="1" applyProtection="1">
      <alignment vertical="center" wrapText="1"/>
      <protection locked="0"/>
    </xf>
    <xf numFmtId="169" fontId="22" fillId="0" borderId="19" xfId="47" applyNumberFormat="1" applyFont="1" applyBorder="1" applyProtection="1">
      <protection locked="0"/>
    </xf>
    <xf numFmtId="172" fontId="19" fillId="0" borderId="0" xfId="47" applyNumberFormat="1" applyFill="1" applyProtection="1">
      <protection locked="0"/>
    </xf>
    <xf numFmtId="0" fontId="22" fillId="55" borderId="81" xfId="47" applyFont="1" applyFill="1" applyBorder="1" applyAlignment="1" applyProtection="1">
      <alignment horizontal="center" vertical="center" wrapText="1"/>
      <protection locked="0"/>
    </xf>
    <xf numFmtId="10" fontId="19" fillId="0" borderId="19" xfId="160" applyNumberFormat="1" applyBorder="1" applyProtection="1">
      <protection locked="0"/>
    </xf>
    <xf numFmtId="0" fontId="19" fillId="0" borderId="36" xfId="47" applyFill="1" applyBorder="1" applyAlignment="1" applyProtection="1">
      <alignment horizontal="center" vertical="center"/>
      <protection locked="0"/>
    </xf>
    <xf numFmtId="0" fontId="19" fillId="0" borderId="36" xfId="47" applyFont="1" applyBorder="1" applyAlignment="1" applyProtection="1">
      <alignment horizontal="center" vertical="center"/>
      <protection locked="0"/>
    </xf>
    <xf numFmtId="0" fontId="19" fillId="0" borderId="36" xfId="47" applyFont="1" applyFill="1" applyBorder="1" applyAlignment="1" applyProtection="1">
      <alignment horizontal="center" vertical="center"/>
      <protection locked="0"/>
    </xf>
    <xf numFmtId="10" fontId="19" fillId="0" borderId="45" xfId="160" applyNumberFormat="1" applyBorder="1" applyProtection="1">
      <protection locked="0"/>
    </xf>
    <xf numFmtId="0" fontId="19" fillId="0" borderId="47" xfId="47" applyFont="1" applyBorder="1" applyAlignment="1" applyProtection="1">
      <alignment horizontal="center"/>
      <protection locked="0"/>
    </xf>
    <xf numFmtId="0" fontId="22" fillId="0" borderId="43" xfId="47" applyFont="1" applyBorder="1" applyProtection="1">
      <protection locked="0"/>
    </xf>
    <xf numFmtId="0" fontId="19" fillId="0" borderId="0" xfId="47" applyAlignment="1" applyProtection="1">
      <alignment horizontal="center" vertical="top"/>
      <protection locked="0"/>
    </xf>
    <xf numFmtId="0" fontId="22" fillId="0" borderId="0" xfId="47" applyFont="1" applyAlignment="1" applyProtection="1">
      <alignment vertical="top" wrapText="1"/>
      <protection locked="0"/>
    </xf>
    <xf numFmtId="0" fontId="24" fillId="0" borderId="0" xfId="47" applyFont="1" applyAlignment="1" applyProtection="1">
      <alignment horizontal="center"/>
      <protection locked="0"/>
    </xf>
    <xf numFmtId="0" fontId="22" fillId="55" borderId="82" xfId="47" applyFont="1" applyFill="1" applyBorder="1" applyAlignment="1" applyProtection="1">
      <alignment horizontal="center" vertical="center" wrapText="1"/>
      <protection locked="0"/>
    </xf>
    <xf numFmtId="0" fontId="22" fillId="55" borderId="43" xfId="47" quotePrefix="1" applyFont="1" applyFill="1" applyBorder="1" applyAlignment="1" applyProtection="1">
      <alignment horizontal="center"/>
      <protection locked="0"/>
    </xf>
    <xf numFmtId="0" fontId="22" fillId="55" borderId="44" xfId="47" quotePrefix="1" applyFont="1" applyFill="1" applyBorder="1" applyAlignment="1" applyProtection="1">
      <alignment horizontal="center"/>
      <protection locked="0"/>
    </xf>
    <xf numFmtId="169" fontId="22" fillId="0" borderId="66" xfId="47" applyNumberFormat="1" applyFont="1" applyBorder="1" applyProtection="1">
      <protection locked="0"/>
    </xf>
    <xf numFmtId="167" fontId="19" fillId="0" borderId="66" xfId="29" applyBorder="1" applyProtection="1">
      <protection locked="0"/>
    </xf>
    <xf numFmtId="0" fontId="19" fillId="0" borderId="0" xfId="47" applyFont="1" applyBorder="1" applyAlignment="1" applyProtection="1">
      <alignment horizontal="center"/>
      <protection locked="0"/>
    </xf>
    <xf numFmtId="169" fontId="22" fillId="0" borderId="0" xfId="47" applyNumberFormat="1" applyFont="1" applyBorder="1" applyProtection="1">
      <protection locked="0"/>
    </xf>
    <xf numFmtId="0" fontId="19" fillId="0" borderId="0" xfId="47" applyAlignment="1" applyProtection="1">
      <alignment horizontal="center" vertical="center"/>
      <protection locked="0"/>
    </xf>
    <xf numFmtId="0" fontId="22" fillId="0" borderId="0" xfId="47" applyFont="1" applyAlignment="1" applyProtection="1">
      <alignment vertical="center" wrapText="1"/>
      <protection locked="0"/>
    </xf>
    <xf numFmtId="0" fontId="22" fillId="55" borderId="44" xfId="47" quotePrefix="1" applyFont="1" applyFill="1" applyBorder="1" applyAlignment="1" applyProtection="1">
      <alignment horizontal="center" wrapText="1"/>
      <protection locked="0"/>
    </xf>
    <xf numFmtId="0" fontId="22" fillId="55" borderId="44" xfId="47" applyFont="1" applyFill="1" applyBorder="1" applyAlignment="1" applyProtection="1">
      <alignment horizontal="center" wrapText="1"/>
      <protection locked="0"/>
    </xf>
    <xf numFmtId="0" fontId="19" fillId="0" borderId="0" xfId="47" applyFont="1" applyAlignment="1" applyProtection="1">
      <alignment horizontal="center" vertical="center"/>
      <protection locked="0"/>
    </xf>
    <xf numFmtId="0" fontId="19" fillId="0" borderId="0" xfId="47" applyFont="1" applyBorder="1" applyProtection="1">
      <protection locked="0"/>
    </xf>
    <xf numFmtId="166" fontId="19" fillId="0" borderId="0" xfId="126" applyBorder="1" applyProtection="1">
      <protection locked="0"/>
    </xf>
    <xf numFmtId="0" fontId="22" fillId="0" borderId="78" xfId="47" applyFont="1" applyBorder="1" applyProtection="1">
      <protection locked="0"/>
    </xf>
    <xf numFmtId="0" fontId="19" fillId="0" borderId="54" xfId="47" applyBorder="1" applyProtection="1">
      <protection locked="0"/>
    </xf>
    <xf numFmtId="0" fontId="19" fillId="0" borderId="41" xfId="47" applyBorder="1" applyAlignment="1" applyProtection="1">
      <alignment horizontal="center" vertical="center"/>
      <protection locked="0"/>
    </xf>
    <xf numFmtId="0" fontId="19" fillId="0" borderId="33" xfId="47" applyFont="1" applyBorder="1" applyAlignment="1" applyProtection="1">
      <alignment vertical="center" wrapText="1"/>
      <protection locked="0"/>
    </xf>
    <xf numFmtId="10" fontId="19" fillId="0" borderId="33" xfId="160" applyNumberFormat="1" applyBorder="1" applyProtection="1">
      <protection locked="0"/>
    </xf>
    <xf numFmtId="0" fontId="22" fillId="0" borderId="0" xfId="47" applyFont="1" applyAlignment="1" applyProtection="1">
      <alignment vertical="top"/>
      <protection locked="0"/>
    </xf>
    <xf numFmtId="166" fontId="19" fillId="0" borderId="66" xfId="126" applyBorder="1" applyProtection="1">
      <protection locked="0"/>
    </xf>
    <xf numFmtId="169" fontId="18" fillId="59" borderId="28" xfId="126" applyNumberFormat="1" applyFont="1" applyFill="1" applyBorder="1" applyProtection="1">
      <protection locked="0"/>
    </xf>
    <xf numFmtId="0" fontId="26" fillId="0" borderId="0" xfId="47" applyFont="1" applyAlignment="1" applyProtection="1">
      <alignment vertical="center"/>
      <protection locked="0"/>
    </xf>
    <xf numFmtId="0" fontId="22" fillId="0" borderId="0" xfId="47" applyFont="1" applyAlignment="1" applyProtection="1">
      <alignment vertical="center"/>
      <protection locked="0"/>
    </xf>
    <xf numFmtId="0" fontId="24" fillId="0" borderId="0" xfId="47" applyFont="1" applyAlignment="1" applyProtection="1">
      <alignment vertical="top"/>
      <protection locked="0"/>
    </xf>
    <xf numFmtId="167" fontId="18" fillId="59" borderId="19" xfId="29" applyFont="1" applyFill="1" applyBorder="1" applyProtection="1">
      <protection locked="0"/>
    </xf>
    <xf numFmtId="0" fontId="26" fillId="0" borderId="0" xfId="47" applyFont="1" applyAlignment="1" applyProtection="1">
      <alignment horizontal="center"/>
      <protection locked="0"/>
    </xf>
    <xf numFmtId="0" fontId="19" fillId="0" borderId="0" xfId="47" applyFont="1" applyAlignment="1" applyProtection="1">
      <alignment horizontal="left" vertical="top" wrapText="1"/>
      <protection locked="0"/>
    </xf>
    <xf numFmtId="0" fontId="19" fillId="0" borderId="19" xfId="47" applyFont="1" applyBorder="1" applyAlignment="1" applyProtection="1">
      <alignment horizontal="left" vertical="center"/>
      <protection locked="0"/>
    </xf>
    <xf numFmtId="0" fontId="19" fillId="0" borderId="19" xfId="47" applyBorder="1" applyAlignment="1" applyProtection="1">
      <alignment horizontal="left" vertical="center"/>
      <protection locked="0"/>
    </xf>
    <xf numFmtId="0" fontId="19" fillId="0" borderId="36" xfId="47" applyBorder="1" applyAlignment="1" applyProtection="1">
      <alignment horizontal="center" vertical="center"/>
      <protection locked="0"/>
    </xf>
    <xf numFmtId="0" fontId="19" fillId="0" borderId="0" xfId="47" applyFont="1" applyAlignment="1" applyProtection="1">
      <alignment vertical="top" wrapText="1"/>
      <protection locked="0"/>
    </xf>
    <xf numFmtId="0" fontId="22" fillId="0" borderId="0" xfId="47" applyFont="1" applyAlignment="1" applyProtection="1">
      <alignment horizontal="center" vertical="center" wrapText="1"/>
      <protection locked="0"/>
    </xf>
    <xf numFmtId="0" fontId="21" fillId="0" borderId="0" xfId="47" applyFont="1" applyAlignment="1" applyProtection="1">
      <alignment horizontal="right" vertical="top"/>
      <protection locked="0"/>
    </xf>
    <xf numFmtId="0" fontId="18" fillId="0" borderId="0" xfId="165"/>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Font="1" applyProtection="1">
      <protection locked="0"/>
    </xf>
    <xf numFmtId="0" fontId="21" fillId="0" borderId="0" xfId="165" applyFont="1" applyAlignment="1" applyProtection="1">
      <alignment horizontal="right" vertical="top"/>
      <protection locked="0"/>
    </xf>
    <xf numFmtId="0" fontId="22" fillId="0" borderId="0" xfId="47" applyFont="1" applyProtection="1">
      <protection locked="0"/>
    </xf>
    <xf numFmtId="0" fontId="22" fillId="0" borderId="0" xfId="47" applyFont="1" applyFill="1" applyProtection="1">
      <protection locked="0"/>
    </xf>
    <xf numFmtId="0" fontId="19" fillId="0" borderId="0" xfId="47" applyFill="1" applyProtection="1">
      <protection locked="0"/>
    </xf>
    <xf numFmtId="0" fontId="19" fillId="0" borderId="19" xfId="47" applyFont="1" applyBorder="1" applyAlignment="1" applyProtection="1">
      <alignment vertical="center" wrapText="1"/>
      <protection locked="0"/>
    </xf>
    <xf numFmtId="169" fontId="18" fillId="59" borderId="19" xfId="126" applyNumberFormat="1" applyFont="1" applyFill="1" applyBorder="1" applyProtection="1">
      <protection locked="0"/>
    </xf>
    <xf numFmtId="0" fontId="19" fillId="0" borderId="19" xfId="47" applyFill="1" applyBorder="1" applyAlignment="1" applyProtection="1">
      <alignment vertical="center" wrapText="1"/>
      <protection locked="0"/>
    </xf>
    <xf numFmtId="0" fontId="19" fillId="0" borderId="19" xfId="47" applyBorder="1" applyAlignment="1" applyProtection="1">
      <alignment vertical="center" wrapText="1"/>
      <protection locked="0"/>
    </xf>
    <xf numFmtId="0" fontId="19" fillId="0" borderId="19" xfId="47" applyFont="1" applyFill="1" applyBorder="1" applyAlignment="1" applyProtection="1">
      <alignment vertical="center" wrapText="1"/>
      <protection locked="0"/>
    </xf>
    <xf numFmtId="169" fontId="22" fillId="0" borderId="19" xfId="47" applyNumberFormat="1" applyFont="1" applyBorder="1" applyProtection="1">
      <protection locked="0"/>
    </xf>
    <xf numFmtId="172" fontId="19" fillId="0" borderId="0" xfId="47" applyNumberFormat="1" applyFill="1" applyProtection="1">
      <protection locked="0"/>
    </xf>
    <xf numFmtId="0" fontId="22" fillId="55" borderId="81" xfId="47" applyFont="1" applyFill="1" applyBorder="1" applyAlignment="1" applyProtection="1">
      <alignment horizontal="center" vertical="center" wrapText="1"/>
      <protection locked="0"/>
    </xf>
    <xf numFmtId="10" fontId="19" fillId="0" borderId="19" xfId="155" applyNumberFormat="1" applyBorder="1" applyProtection="1">
      <protection locked="0"/>
    </xf>
    <xf numFmtId="0" fontId="19" fillId="0" borderId="36" xfId="47" applyFill="1" applyBorder="1" applyAlignment="1" applyProtection="1">
      <alignment horizontal="center" vertical="center"/>
      <protection locked="0"/>
    </xf>
    <xf numFmtId="0" fontId="19" fillId="0" borderId="36" xfId="47" applyFont="1" applyBorder="1" applyAlignment="1" applyProtection="1">
      <alignment horizontal="center" vertical="center"/>
      <protection locked="0"/>
    </xf>
    <xf numFmtId="0" fontId="19" fillId="0" borderId="36" xfId="47" applyFont="1" applyFill="1" applyBorder="1" applyAlignment="1" applyProtection="1">
      <alignment horizontal="center" vertical="center"/>
      <protection locked="0"/>
    </xf>
    <xf numFmtId="10" fontId="19" fillId="0" borderId="45" xfId="155" applyNumberFormat="1" applyBorder="1" applyProtection="1">
      <protection locked="0"/>
    </xf>
    <xf numFmtId="0" fontId="19" fillId="0" borderId="47" xfId="47" applyFont="1" applyBorder="1" applyAlignment="1" applyProtection="1">
      <alignment horizontal="center"/>
      <protection locked="0"/>
    </xf>
    <xf numFmtId="0" fontId="22" fillId="0" borderId="43" xfId="47" applyFont="1" applyBorder="1" applyProtection="1">
      <protection locked="0"/>
    </xf>
    <xf numFmtId="169" fontId="22" fillId="0" borderId="43" xfId="47" applyNumberFormat="1" applyFont="1" applyBorder="1" applyProtection="1">
      <protection locked="0"/>
    </xf>
    <xf numFmtId="166" fontId="19" fillId="0" borderId="43" xfId="126" applyBorder="1" applyProtection="1">
      <protection locked="0"/>
    </xf>
    <xf numFmtId="0" fontId="22" fillId="0" borderId="0" xfId="47" applyFont="1" applyAlignment="1" applyProtection="1">
      <alignment vertical="top" wrapText="1"/>
      <protection locked="0"/>
    </xf>
    <xf numFmtId="0" fontId="24" fillId="0" borderId="0" xfId="47" applyFont="1" applyAlignment="1" applyProtection="1">
      <alignment horizontal="center"/>
      <protection locked="0"/>
    </xf>
    <xf numFmtId="0" fontId="22" fillId="55" borderId="82" xfId="47" applyFont="1" applyFill="1" applyBorder="1" applyAlignment="1" applyProtection="1">
      <alignment horizontal="center" vertical="center" wrapText="1"/>
      <protection locked="0"/>
    </xf>
    <xf numFmtId="0" fontId="22" fillId="55" borderId="43" xfId="47" quotePrefix="1" applyFont="1" applyFill="1" applyBorder="1" applyAlignment="1" applyProtection="1">
      <alignment horizontal="center"/>
      <protection locked="0"/>
    </xf>
    <xf numFmtId="0" fontId="22" fillId="55" borderId="44" xfId="47" quotePrefix="1" applyFont="1" applyFill="1" applyBorder="1" applyAlignment="1" applyProtection="1">
      <alignment horizontal="center"/>
      <protection locked="0"/>
    </xf>
    <xf numFmtId="169" fontId="22" fillId="0" borderId="45" xfId="47" applyNumberFormat="1" applyFont="1" applyBorder="1" applyProtection="1">
      <protection locked="0"/>
    </xf>
    <xf numFmtId="0" fontId="19" fillId="0" borderId="0" xfId="47" applyFont="1" applyBorder="1" applyAlignment="1" applyProtection="1">
      <alignment horizontal="center"/>
      <protection locked="0"/>
    </xf>
    <xf numFmtId="169" fontId="22" fillId="0" borderId="0" xfId="47" applyNumberFormat="1" applyFont="1" applyBorder="1" applyProtection="1">
      <protection locked="0"/>
    </xf>
    <xf numFmtId="0" fontId="19" fillId="0" borderId="0" xfId="47" applyAlignment="1" applyProtection="1">
      <alignment horizontal="center" vertical="center"/>
      <protection locked="0"/>
    </xf>
    <xf numFmtId="0" fontId="22" fillId="0" borderId="0" xfId="47" applyFont="1" applyAlignment="1" applyProtection="1">
      <alignment vertical="center" wrapText="1"/>
      <protection locked="0"/>
    </xf>
    <xf numFmtId="0" fontId="22" fillId="55" borderId="44" xfId="47" quotePrefix="1" applyFont="1" applyFill="1" applyBorder="1" applyAlignment="1" applyProtection="1">
      <alignment horizontal="center" wrapText="1"/>
      <protection locked="0"/>
    </xf>
    <xf numFmtId="0" fontId="19" fillId="0" borderId="0" xfId="47" applyFont="1" applyAlignment="1" applyProtection="1">
      <alignment horizontal="center" vertical="center"/>
      <protection locked="0"/>
    </xf>
    <xf numFmtId="167" fontId="19" fillId="0" borderId="43" xfId="29" applyBorder="1" applyProtection="1">
      <protection locked="0"/>
    </xf>
    <xf numFmtId="0" fontId="19" fillId="0" borderId="0" xfId="47" applyFont="1" applyBorder="1" applyProtection="1">
      <protection locked="0"/>
    </xf>
    <xf numFmtId="166" fontId="19" fillId="0" borderId="0" xfId="126" applyBorder="1" applyProtection="1">
      <protection locked="0"/>
    </xf>
    <xf numFmtId="0" fontId="22" fillId="0" borderId="78" xfId="47" applyFont="1" applyBorder="1" applyProtection="1">
      <protection locked="0"/>
    </xf>
    <xf numFmtId="0" fontId="19" fillId="0" borderId="54" xfId="47" applyBorder="1" applyProtection="1">
      <protection locked="0"/>
    </xf>
    <xf numFmtId="0" fontId="19" fillId="0" borderId="41" xfId="47" applyBorder="1" applyAlignment="1" applyProtection="1">
      <alignment horizontal="center" vertical="center"/>
      <protection locked="0"/>
    </xf>
    <xf numFmtId="0" fontId="19" fillId="0" borderId="33" xfId="47" applyFont="1" applyBorder="1" applyAlignment="1" applyProtection="1">
      <alignment vertical="center" wrapText="1"/>
      <protection locked="0"/>
    </xf>
    <xf numFmtId="10" fontId="19" fillId="0" borderId="33" xfId="155" applyNumberFormat="1" applyBorder="1" applyProtection="1">
      <protection locked="0"/>
    </xf>
    <xf numFmtId="0" fontId="22" fillId="0" borderId="0" xfId="47" applyFont="1" applyAlignment="1" applyProtection="1">
      <alignment vertical="top"/>
      <protection locked="0"/>
    </xf>
    <xf numFmtId="0" fontId="26" fillId="0" borderId="0" xfId="47" applyFont="1" applyAlignment="1" applyProtection="1">
      <alignment vertical="center"/>
      <protection locked="0"/>
    </xf>
    <xf numFmtId="0" fontId="22" fillId="0" borderId="0" xfId="47" applyFont="1" applyAlignment="1" applyProtection="1">
      <alignment vertical="center"/>
      <protection locked="0"/>
    </xf>
    <xf numFmtId="0" fontId="24" fillId="0" borderId="0" xfId="47" applyFont="1" applyAlignment="1" applyProtection="1">
      <alignment vertical="top"/>
      <protection locked="0"/>
    </xf>
    <xf numFmtId="167" fontId="18" fillId="59" borderId="19" xfId="29" applyFont="1" applyFill="1" applyBorder="1" applyProtection="1">
      <protection locked="0"/>
    </xf>
    <xf numFmtId="0" fontId="26" fillId="0" borderId="0" xfId="47" applyFont="1" applyAlignment="1" applyProtection="1">
      <alignment horizontal="center"/>
      <protection locked="0"/>
    </xf>
    <xf numFmtId="0" fontId="19" fillId="0" borderId="19" xfId="47" applyFont="1" applyBorder="1" applyAlignment="1" applyProtection="1">
      <alignment horizontal="left" vertical="center"/>
      <protection locked="0"/>
    </xf>
    <xf numFmtId="0" fontId="19" fillId="0" borderId="19" xfId="47" applyBorder="1" applyAlignment="1" applyProtection="1">
      <alignment horizontal="left" vertical="center"/>
      <protection locked="0"/>
    </xf>
    <xf numFmtId="0" fontId="19" fillId="0" borderId="36" xfId="47" applyBorder="1" applyAlignment="1" applyProtection="1">
      <alignment horizontal="center" vertical="center"/>
      <protection locked="0"/>
    </xf>
    <xf numFmtId="0" fontId="19" fillId="0" borderId="0" xfId="47" applyFont="1" applyAlignment="1" applyProtection="1">
      <alignment vertical="top" wrapText="1"/>
      <protection locked="0"/>
    </xf>
    <xf numFmtId="0" fontId="22" fillId="0" borderId="0" xfId="47" applyFont="1" applyAlignment="1" applyProtection="1">
      <alignment horizontal="center" vertical="center" wrapText="1"/>
      <protection locked="0"/>
    </xf>
    <xf numFmtId="0" fontId="21" fillId="0" borderId="0" xfId="47" applyFont="1" applyAlignment="1" applyProtection="1">
      <alignment horizontal="right" vertical="top"/>
      <protection locked="0"/>
    </xf>
    <xf numFmtId="0" fontId="18" fillId="0" borderId="0" xfId="147"/>
    <xf numFmtId="0" fontId="22" fillId="0" borderId="0" xfId="147" applyFont="1" applyProtection="1">
      <protection locked="0"/>
    </xf>
    <xf numFmtId="0" fontId="21" fillId="0" borderId="0" xfId="147" applyFont="1" applyAlignment="1" applyProtection="1">
      <alignment horizontal="right" vertical="top"/>
      <protection locked="0"/>
    </xf>
    <xf numFmtId="0" fontId="21" fillId="59" borderId="102" xfId="147" applyFont="1" applyFill="1" applyBorder="1" applyAlignment="1" applyProtection="1">
      <alignment horizontal="right" vertical="top"/>
      <protection locked="0"/>
    </xf>
    <xf numFmtId="0" fontId="21" fillId="59" borderId="0" xfId="147" applyFont="1" applyFill="1" applyAlignment="1" applyProtection="1">
      <alignment horizontal="right" vertical="top"/>
      <protection locked="0"/>
    </xf>
    <xf numFmtId="0" fontId="22" fillId="58" borderId="28" xfId="147" applyFont="1" applyFill="1" applyBorder="1" applyAlignment="1" applyProtection="1">
      <alignment horizontal="center"/>
      <protection locked="0"/>
    </xf>
    <xf numFmtId="0" fontId="19" fillId="0" borderId="0" xfId="147" applyFont="1" applyProtection="1">
      <protection locked="0"/>
    </xf>
    <xf numFmtId="169" fontId="18" fillId="59" borderId="19" xfId="126" applyNumberFormat="1" applyFont="1" applyFill="1" applyBorder="1" applyProtection="1">
      <protection locked="0"/>
    </xf>
    <xf numFmtId="169" fontId="18" fillId="59" borderId="42" xfId="126" applyNumberFormat="1" applyFont="1" applyFill="1" applyBorder="1" applyProtection="1">
      <protection locked="0"/>
    </xf>
    <xf numFmtId="169" fontId="18" fillId="59" borderId="45" xfId="126" applyNumberFormat="1" applyFont="1" applyFill="1" applyBorder="1" applyProtection="1">
      <protection locked="0"/>
    </xf>
    <xf numFmtId="169" fontId="18" fillId="0" borderId="43" xfId="126" applyNumberFormat="1" applyFont="1" applyBorder="1" applyProtection="1">
      <protection locked="0"/>
    </xf>
    <xf numFmtId="169" fontId="18" fillId="59" borderId="28" xfId="126" applyNumberFormat="1" applyFont="1" applyFill="1" applyBorder="1" applyProtection="1">
      <protection locked="0"/>
    </xf>
    <xf numFmtId="0" fontId="22" fillId="0" borderId="0" xfId="147" applyFont="1" applyAlignment="1" applyProtection="1">
      <alignment horizontal="center"/>
      <protection locked="0"/>
    </xf>
    <xf numFmtId="0" fontId="25" fillId="0" borderId="0" xfId="147" applyFont="1" applyProtection="1">
      <protection locked="0"/>
    </xf>
    <xf numFmtId="169" fontId="19" fillId="0" borderId="0" xfId="147" applyNumberFormat="1" applyFont="1" applyProtection="1">
      <protection locked="0"/>
    </xf>
    <xf numFmtId="0" fontId="18" fillId="0" borderId="0" xfId="147" applyFill="1" applyProtection="1">
      <protection locked="0"/>
    </xf>
    <xf numFmtId="0" fontId="22" fillId="0" borderId="0" xfId="147" applyFont="1" applyAlignment="1" applyProtection="1">
      <alignment horizontal="left"/>
      <protection locked="0"/>
    </xf>
    <xf numFmtId="0" fontId="22" fillId="0" borderId="41" xfId="147" applyFont="1" applyBorder="1" applyProtection="1">
      <protection locked="0"/>
    </xf>
    <xf numFmtId="0" fontId="22" fillId="0" borderId="33" xfId="147" applyFont="1" applyBorder="1" applyProtection="1">
      <protection locked="0"/>
    </xf>
    <xf numFmtId="0" fontId="22" fillId="55" borderId="70" xfId="147" applyFont="1" applyFill="1" applyBorder="1" applyAlignment="1" applyProtection="1">
      <alignment horizontal="center"/>
      <protection locked="0"/>
    </xf>
    <xf numFmtId="0" fontId="22" fillId="0" borderId="84" xfId="147" applyFont="1" applyBorder="1" applyProtection="1">
      <protection locked="0"/>
    </xf>
    <xf numFmtId="0" fontId="22" fillId="0" borderId="28" xfId="147" applyFont="1" applyBorder="1" applyProtection="1">
      <protection locked="0"/>
    </xf>
    <xf numFmtId="0" fontId="22" fillId="55" borderId="28" xfId="147" applyFont="1" applyFill="1" applyBorder="1" applyAlignment="1" applyProtection="1">
      <alignment horizontal="center"/>
      <protection locked="0"/>
    </xf>
    <xf numFmtId="0" fontId="22" fillId="55" borderId="85" xfId="147" applyFont="1" applyFill="1" applyBorder="1" applyAlignment="1" applyProtection="1">
      <alignment horizontal="center"/>
      <protection locked="0"/>
    </xf>
    <xf numFmtId="0" fontId="22" fillId="55" borderId="72" xfId="147" applyFont="1" applyFill="1" applyBorder="1" applyAlignment="1" applyProtection="1">
      <alignment horizontal="center"/>
      <protection locked="0"/>
    </xf>
    <xf numFmtId="0" fontId="46" fillId="0" borderId="28" xfId="147" applyFont="1" applyBorder="1" applyProtection="1">
      <protection locked="0"/>
    </xf>
    <xf numFmtId="0" fontId="22" fillId="58" borderId="85" xfId="147" applyFont="1" applyFill="1" applyBorder="1" applyAlignment="1" applyProtection="1">
      <alignment horizontal="center"/>
      <protection locked="0"/>
    </xf>
    <xf numFmtId="0" fontId="22" fillId="58" borderId="72" xfId="147" applyFont="1" applyFill="1" applyBorder="1" applyAlignment="1" applyProtection="1">
      <alignment horizontal="center"/>
      <protection locked="0"/>
    </xf>
    <xf numFmtId="0" fontId="22" fillId="0" borderId="36" xfId="147" applyFont="1" applyBorder="1" applyAlignment="1" applyProtection="1">
      <alignment horizontal="center"/>
      <protection locked="0"/>
    </xf>
    <xf numFmtId="0" fontId="22" fillId="0" borderId="19" xfId="147" applyFont="1" applyBorder="1" applyProtection="1">
      <protection locked="0"/>
    </xf>
    <xf numFmtId="169" fontId="18" fillId="59" borderId="34" xfId="126" applyNumberFormat="1" applyFont="1" applyFill="1" applyBorder="1" applyProtection="1">
      <protection locked="0"/>
    </xf>
    <xf numFmtId="169" fontId="18" fillId="0" borderId="19" xfId="147" applyNumberFormat="1" applyFill="1" applyBorder="1" applyProtection="1">
      <protection locked="0"/>
    </xf>
    <xf numFmtId="169" fontId="18" fillId="0" borderId="19" xfId="147" applyNumberFormat="1" applyBorder="1" applyProtection="1">
      <protection locked="0"/>
    </xf>
    <xf numFmtId="169" fontId="18" fillId="0" borderId="34" xfId="147" applyNumberFormat="1" applyBorder="1" applyProtection="1">
      <protection locked="0"/>
    </xf>
    <xf numFmtId="169" fontId="18" fillId="0" borderId="44" xfId="126" applyNumberFormat="1" applyFont="1" applyBorder="1" applyProtection="1">
      <protection locked="0"/>
    </xf>
    <xf numFmtId="0" fontId="18" fillId="0" borderId="58" xfId="147" applyBorder="1" applyProtection="1">
      <protection locked="0"/>
    </xf>
    <xf numFmtId="0" fontId="18" fillId="0" borderId="59" xfId="147" applyBorder="1" applyProtection="1">
      <protection locked="0"/>
    </xf>
    <xf numFmtId="0" fontId="22" fillId="0" borderId="70" xfId="147" applyFont="1" applyFill="1" applyBorder="1" applyAlignment="1" applyProtection="1">
      <alignment horizontal="center"/>
      <protection locked="0"/>
    </xf>
    <xf numFmtId="0" fontId="18" fillId="0" borderId="62" xfId="147" applyBorder="1" applyProtection="1">
      <protection locked="0"/>
    </xf>
    <xf numFmtId="0" fontId="18" fillId="0" borderId="25" xfId="147" applyBorder="1" applyProtection="1">
      <protection locked="0"/>
    </xf>
    <xf numFmtId="0" fontId="22" fillId="0" borderId="19" xfId="147" applyFont="1" applyFill="1" applyBorder="1" applyAlignment="1" applyProtection="1">
      <alignment horizontal="center"/>
      <protection locked="0"/>
    </xf>
    <xf numFmtId="0" fontId="22" fillId="0" borderId="34" xfId="147" applyFont="1" applyFill="1" applyBorder="1" applyAlignment="1" applyProtection="1">
      <alignment horizontal="center"/>
      <protection locked="0"/>
    </xf>
    <xf numFmtId="0" fontId="22" fillId="0" borderId="20" xfId="147" applyFont="1" applyFill="1" applyBorder="1" applyAlignment="1" applyProtection="1">
      <alignment horizontal="center"/>
      <protection locked="0"/>
    </xf>
    <xf numFmtId="169" fontId="18" fillId="59" borderId="22" xfId="126" applyNumberFormat="1" applyFont="1" applyFill="1" applyBorder="1" applyProtection="1">
      <protection locked="0"/>
    </xf>
    <xf numFmtId="169" fontId="18" fillId="59" borderId="23" xfId="126" applyNumberFormat="1" applyFont="1" applyFill="1" applyBorder="1" applyProtection="1">
      <protection locked="0"/>
    </xf>
    <xf numFmtId="169" fontId="18" fillId="59" borderId="46" xfId="126" applyNumberFormat="1" applyFont="1" applyFill="1" applyBorder="1" applyProtection="1">
      <protection locked="0"/>
    </xf>
    <xf numFmtId="169" fontId="18" fillId="0" borderId="40" xfId="126" applyNumberFormat="1" applyFont="1" applyBorder="1" applyProtection="1">
      <protection locked="0"/>
    </xf>
    <xf numFmtId="0" fontId="18" fillId="0" borderId="0" xfId="147" applyAlignment="1" applyProtection="1">
      <alignment horizontal="center" vertical="center"/>
      <protection locked="0"/>
    </xf>
    <xf numFmtId="0" fontId="22" fillId="0" borderId="19" xfId="147" applyFont="1" applyFill="1" applyBorder="1" applyProtection="1">
      <protection locked="0"/>
    </xf>
    <xf numFmtId="0" fontId="22" fillId="0" borderId="36" xfId="147" applyFont="1" applyFill="1" applyBorder="1" applyAlignment="1" applyProtection="1">
      <alignment horizontal="center"/>
      <protection locked="0"/>
    </xf>
    <xf numFmtId="0" fontId="18" fillId="0" borderId="0" xfId="147" applyAlignment="1" applyProtection="1">
      <alignment horizontal="left"/>
      <protection locked="0"/>
    </xf>
    <xf numFmtId="0" fontId="19" fillId="0" borderId="0" xfId="147" applyFont="1" applyAlignment="1" applyProtection="1">
      <alignment wrapText="1"/>
      <protection locked="0"/>
    </xf>
    <xf numFmtId="0" fontId="21" fillId="0" borderId="0" xfId="47" applyFont="1" applyAlignment="1" applyProtection="1">
      <alignment horizontal="right" vertical="top"/>
      <protection locked="0"/>
    </xf>
    <xf numFmtId="0" fontId="22" fillId="55" borderId="33" xfId="147" applyFont="1" applyFill="1" applyBorder="1" applyAlignment="1" applyProtection="1">
      <alignment horizontal="center"/>
      <protection locked="0"/>
    </xf>
    <xf numFmtId="0" fontId="22" fillId="0" borderId="33" xfId="147" applyFont="1" applyFill="1" applyBorder="1" applyAlignment="1" applyProtection="1">
      <alignment horizontal="center"/>
      <protection locked="0"/>
    </xf>
    <xf numFmtId="169" fontId="19" fillId="59" borderId="19" xfId="126" applyNumberFormat="1" applyFont="1" applyFill="1" applyBorder="1" applyProtection="1">
      <protection locked="0"/>
    </xf>
    <xf numFmtId="0" fontId="69" fillId="0" borderId="19" xfId="127" applyFont="1" applyFill="1" applyBorder="1"/>
    <xf numFmtId="0" fontId="69" fillId="0" borderId="19" xfId="128" applyFont="1" applyFill="1" applyBorder="1"/>
    <xf numFmtId="0" fontId="69" fillId="0" borderId="19" xfId="129" applyFont="1" applyFill="1" applyBorder="1"/>
    <xf numFmtId="0" fontId="69" fillId="0" borderId="19" xfId="130" applyFont="1" applyFill="1" applyBorder="1"/>
    <xf numFmtId="0" fontId="69" fillId="0" borderId="19" xfId="131" applyFont="1" applyFill="1" applyBorder="1"/>
    <xf numFmtId="44" fontId="18" fillId="0" borderId="0" xfId="147" applyNumberFormat="1" applyProtection="1">
      <protection locked="0"/>
    </xf>
    <xf numFmtId="0" fontId="69" fillId="0" borderId="19" xfId="132" applyFont="1" applyFill="1" applyBorder="1"/>
    <xf numFmtId="0" fontId="69" fillId="0" borderId="19" xfId="133" applyFont="1" applyFill="1" applyBorder="1"/>
    <xf numFmtId="0" fontId="69" fillId="0" borderId="19" xfId="134" applyFont="1" applyFill="1" applyBorder="1"/>
    <xf numFmtId="169" fontId="18" fillId="59" borderId="19" xfId="147" applyNumberFormat="1" applyFill="1" applyBorder="1" applyProtection="1">
      <protection locked="0"/>
    </xf>
    <xf numFmtId="169" fontId="18" fillId="59" borderId="45" xfId="147" applyNumberFormat="1" applyFill="1" applyBorder="1" applyProtection="1">
      <protection locked="0"/>
    </xf>
    <xf numFmtId="0" fontId="22" fillId="0" borderId="75" xfId="147" applyFont="1" applyFill="1" applyBorder="1" applyAlignment="1" applyProtection="1">
      <alignment horizontal="center"/>
      <protection locked="0"/>
    </xf>
    <xf numFmtId="0" fontId="53" fillId="59" borderId="36" xfId="147" applyFont="1" applyFill="1" applyBorder="1"/>
    <xf numFmtId="0" fontId="53" fillId="59" borderId="19" xfId="147" applyFont="1" applyFill="1" applyBorder="1"/>
    <xf numFmtId="0" fontId="19" fillId="59" borderId="62" xfId="135" applyFont="1" applyFill="1" applyBorder="1" applyAlignment="1">
      <alignment horizontal="left"/>
    </xf>
    <xf numFmtId="0" fontId="19" fillId="59" borderId="25" xfId="135" applyFill="1" applyBorder="1" applyAlignment="1">
      <alignment horizontal="left"/>
    </xf>
    <xf numFmtId="0" fontId="53" fillId="59" borderId="62" xfId="147" applyFont="1" applyFill="1" applyBorder="1"/>
    <xf numFmtId="0" fontId="53" fillId="59" borderId="25" xfId="147" applyFont="1" applyFill="1" applyBorder="1"/>
    <xf numFmtId="0" fontId="53" fillId="59" borderId="63" xfId="147" applyFont="1" applyFill="1" applyBorder="1"/>
    <xf numFmtId="0" fontId="53" fillId="59" borderId="42" xfId="147" applyFont="1" applyFill="1" applyBorder="1"/>
    <xf numFmtId="169" fontId="18" fillId="0" borderId="0" xfId="147" applyNumberFormat="1" applyFill="1" applyProtection="1">
      <protection locked="0"/>
    </xf>
    <xf numFmtId="0" fontId="53" fillId="59" borderId="97" xfId="147" applyFont="1" applyFill="1" applyBorder="1"/>
    <xf numFmtId="0" fontId="53" fillId="59" borderId="26" xfId="147" applyFont="1" applyFill="1" applyBorder="1"/>
    <xf numFmtId="169" fontId="18" fillId="0" borderId="0" xfId="147" applyNumberFormat="1" applyProtection="1">
      <protection locked="0"/>
    </xf>
    <xf numFmtId="0" fontId="19" fillId="59" borderId="36" xfId="135" applyFont="1" applyFill="1" applyBorder="1" applyAlignment="1">
      <alignment horizontal="left"/>
    </xf>
    <xf numFmtId="0" fontId="53" fillId="59" borderId="27" xfId="147" applyFont="1" applyFill="1" applyBorder="1"/>
    <xf numFmtId="0" fontId="19" fillId="59" borderId="19" xfId="135" applyFill="1" applyBorder="1" applyAlignment="1">
      <alignment horizontal="left"/>
    </xf>
    <xf numFmtId="0" fontId="19" fillId="59" borderId="96" xfId="135" applyFont="1" applyFill="1" applyBorder="1" applyAlignment="1"/>
    <xf numFmtId="0" fontId="19" fillId="59" borderId="63" xfId="135" applyFont="1" applyFill="1" applyBorder="1" applyAlignment="1">
      <alignment horizontal="left"/>
    </xf>
    <xf numFmtId="169" fontId="18" fillId="59" borderId="72" xfId="126" applyNumberFormat="1" applyFont="1" applyFill="1" applyBorder="1" applyProtection="1">
      <protection locked="0"/>
    </xf>
    <xf numFmtId="169" fontId="18" fillId="59" borderId="21" xfId="126" applyNumberFormat="1" applyFont="1" applyFill="1" applyBorder="1" applyProtection="1">
      <protection locked="0"/>
    </xf>
    <xf numFmtId="0" fontId="79" fillId="0" borderId="0" xfId="37" applyFont="1" applyAlignment="1" applyProtection="1">
      <alignment vertical="center"/>
    </xf>
    <xf numFmtId="0" fontId="85" fillId="0" borderId="0" xfId="0" applyFont="1"/>
    <xf numFmtId="0" fontId="1" fillId="0" borderId="0" xfId="0" applyFont="1"/>
    <xf numFmtId="0" fontId="18" fillId="0" borderId="0" xfId="169"/>
    <xf numFmtId="0" fontId="19" fillId="0" borderId="0" xfId="47" applyAlignment="1" applyProtection="1">
      <alignment vertical="center" wrapText="1"/>
      <protection locked="0"/>
    </xf>
    <xf numFmtId="0" fontId="21" fillId="0" borderId="0" xfId="169" applyFont="1" applyAlignment="1" applyProtection="1">
      <alignment horizontal="right" vertical="top"/>
      <protection locked="0"/>
    </xf>
    <xf numFmtId="0" fontId="21" fillId="59" borderId="102" xfId="169" applyFont="1" applyFill="1" applyBorder="1" applyAlignment="1" applyProtection="1">
      <alignment horizontal="right" vertical="top"/>
      <protection locked="0"/>
    </xf>
    <xf numFmtId="0" fontId="21" fillId="59" borderId="0" xfId="169" applyFont="1" applyFill="1" applyAlignment="1" applyProtection="1">
      <alignment horizontal="right" vertical="top"/>
      <protection locked="0"/>
    </xf>
    <xf numFmtId="0" fontId="19" fillId="0" borderId="0" xfId="169" applyFont="1" applyProtection="1">
      <protection locked="0"/>
    </xf>
    <xf numFmtId="0" fontId="18" fillId="0" borderId="0" xfId="169" applyFill="1" applyBorder="1" applyProtection="1">
      <protection locked="0"/>
    </xf>
    <xf numFmtId="0" fontId="22" fillId="0" borderId="0" xfId="169" applyFont="1" applyAlignment="1" applyProtection="1">
      <alignment horizontal="left"/>
      <protection locked="0"/>
    </xf>
    <xf numFmtId="0" fontId="53" fillId="0" borderId="100" xfId="47" applyFont="1" applyFill="1" applyBorder="1" applyAlignment="1" applyProtection="1">
      <alignment vertical="center" wrapText="1"/>
      <protection locked="0"/>
    </xf>
    <xf numFmtId="0" fontId="22" fillId="0" borderId="30" xfId="169" applyFont="1" applyFill="1" applyBorder="1" applyAlignment="1" applyProtection="1">
      <alignment horizontal="center" vertical="center" wrapText="1"/>
      <protection locked="0"/>
    </xf>
    <xf numFmtId="0" fontId="22" fillId="0" borderId="74" xfId="169" applyFont="1" applyFill="1" applyBorder="1" applyAlignment="1" applyProtection="1">
      <alignment horizontal="center" vertical="center" wrapText="1"/>
      <protection locked="0"/>
    </xf>
    <xf numFmtId="0" fontId="18" fillId="0" borderId="0" xfId="169" applyAlignment="1" applyProtection="1">
      <alignment vertical="center" wrapText="1"/>
      <protection locked="0"/>
    </xf>
    <xf numFmtId="0" fontId="58" fillId="0" borderId="29" xfId="47" applyFont="1" applyFill="1" applyBorder="1" applyAlignment="1" applyProtection="1">
      <alignment vertical="center" wrapText="1"/>
      <protection locked="0"/>
    </xf>
    <xf numFmtId="0" fontId="22" fillId="58" borderId="30" xfId="169" applyFont="1" applyFill="1" applyBorder="1" applyAlignment="1" applyProtection="1">
      <alignment horizontal="center" vertical="top" wrapText="1"/>
      <protection locked="0"/>
    </xf>
    <xf numFmtId="0" fontId="22" fillId="58" borderId="74" xfId="169" applyFont="1" applyFill="1" applyBorder="1" applyAlignment="1" applyProtection="1">
      <alignment horizontal="center" vertical="top" wrapText="1"/>
      <protection locked="0"/>
    </xf>
    <xf numFmtId="0" fontId="53" fillId="0" borderId="41" xfId="47" applyFont="1" applyBorder="1" applyAlignment="1" applyProtection="1">
      <alignment vertical="center" wrapText="1"/>
      <protection locked="0"/>
    </xf>
    <xf numFmtId="3" fontId="53" fillId="0" borderId="0" xfId="47" applyNumberFormat="1" applyFont="1" applyFill="1" applyBorder="1" applyAlignment="1" applyProtection="1">
      <alignment vertical="center" wrapText="1"/>
      <protection locked="0"/>
    </xf>
    <xf numFmtId="0" fontId="53" fillId="0" borderId="36" xfId="47" applyFont="1" applyBorder="1" applyAlignment="1" applyProtection="1">
      <alignment vertical="center" wrapText="1"/>
      <protection locked="0"/>
    </xf>
    <xf numFmtId="169" fontId="53" fillId="59" borderId="19" xfId="126" applyNumberFormat="1" applyFont="1" applyFill="1" applyBorder="1" applyAlignment="1" applyProtection="1">
      <alignment vertical="center" wrapText="1"/>
      <protection locked="0"/>
    </xf>
    <xf numFmtId="169" fontId="53" fillId="59" borderId="34" xfId="126" applyNumberFormat="1" applyFont="1" applyFill="1" applyBorder="1" applyAlignment="1" applyProtection="1">
      <alignment vertical="center" wrapText="1"/>
      <protection locked="0"/>
    </xf>
    <xf numFmtId="0" fontId="54" fillId="0" borderId="36" xfId="47" applyFont="1" applyBorder="1" applyAlignment="1" applyProtection="1">
      <alignment vertical="center" wrapText="1"/>
      <protection locked="0"/>
    </xf>
    <xf numFmtId="169" fontId="54" fillId="0" borderId="19" xfId="126" applyNumberFormat="1" applyFont="1" applyBorder="1" applyAlignment="1" applyProtection="1">
      <alignment vertical="center" wrapText="1"/>
      <protection locked="0"/>
    </xf>
    <xf numFmtId="169" fontId="54" fillId="0" borderId="34" xfId="126" applyNumberFormat="1" applyFont="1" applyBorder="1" applyAlignment="1" applyProtection="1">
      <alignment vertical="center" wrapText="1"/>
      <protection locked="0"/>
    </xf>
    <xf numFmtId="3" fontId="54" fillId="0" borderId="0" xfId="29" applyNumberFormat="1" applyFont="1" applyFill="1" applyBorder="1" applyAlignment="1" applyProtection="1">
      <alignment vertical="center" wrapText="1"/>
      <protection locked="0"/>
    </xf>
    <xf numFmtId="168" fontId="53" fillId="61" borderId="19" xfId="168" applyNumberFormat="1" applyFont="1" applyFill="1" applyBorder="1" applyAlignment="1" applyProtection="1">
      <alignment vertical="center" wrapText="1"/>
      <protection locked="0"/>
    </xf>
    <xf numFmtId="168" fontId="53" fillId="0" borderId="19" xfId="168" applyNumberFormat="1" applyFont="1" applyBorder="1" applyAlignment="1" applyProtection="1">
      <alignment vertical="center" wrapText="1"/>
      <protection locked="0"/>
    </xf>
    <xf numFmtId="168" fontId="53" fillId="0" borderId="34" xfId="168" applyNumberFormat="1" applyFont="1" applyBorder="1" applyAlignment="1" applyProtection="1">
      <alignment vertical="center" wrapText="1"/>
      <protection locked="0"/>
    </xf>
    <xf numFmtId="3" fontId="53" fillId="0" borderId="0" xfId="168" applyNumberFormat="1" applyFont="1" applyFill="1" applyBorder="1" applyAlignment="1" applyProtection="1">
      <alignment vertical="center" wrapText="1"/>
      <protection locked="0"/>
    </xf>
    <xf numFmtId="168" fontId="53" fillId="0" borderId="83" xfId="168" applyNumberFormat="1" applyFont="1" applyBorder="1" applyAlignment="1" applyProtection="1">
      <alignment vertical="center" wrapText="1"/>
      <protection locked="0"/>
    </xf>
    <xf numFmtId="168" fontId="53" fillId="0" borderId="22" xfId="168" applyNumberFormat="1" applyFont="1" applyBorder="1" applyAlignment="1" applyProtection="1">
      <alignment vertical="center" wrapText="1"/>
      <protection locked="0"/>
    </xf>
    <xf numFmtId="168" fontId="53" fillId="0" borderId="42" xfId="168" applyNumberFormat="1" applyFont="1" applyBorder="1" applyAlignment="1" applyProtection="1">
      <alignment vertical="center" wrapText="1"/>
      <protection locked="0"/>
    </xf>
    <xf numFmtId="0" fontId="53" fillId="0" borderId="37" xfId="47" applyFont="1" applyBorder="1" applyAlignment="1" applyProtection="1">
      <alignment vertical="center" wrapText="1"/>
      <protection locked="0"/>
    </xf>
    <xf numFmtId="3" fontId="53" fillId="61" borderId="35" xfId="29" applyNumberFormat="1" applyFont="1" applyFill="1" applyBorder="1" applyAlignment="1" applyProtection="1">
      <alignment vertical="center" wrapText="1"/>
      <protection locked="0"/>
    </xf>
    <xf numFmtId="168" fontId="53" fillId="61" borderId="35" xfId="168" applyNumberFormat="1" applyFont="1" applyFill="1" applyBorder="1" applyAlignment="1" applyProtection="1">
      <alignment vertical="center" wrapText="1"/>
      <protection locked="0"/>
    </xf>
    <xf numFmtId="168" fontId="53" fillId="0" borderId="35" xfId="168" applyNumberFormat="1" applyFont="1" applyBorder="1" applyAlignment="1" applyProtection="1">
      <alignment vertical="center" wrapText="1"/>
      <protection locked="0"/>
    </xf>
    <xf numFmtId="168" fontId="53" fillId="0" borderId="71" xfId="168" applyNumberFormat="1" applyFont="1" applyBorder="1" applyAlignment="1" applyProtection="1">
      <alignment vertical="center" wrapText="1"/>
      <protection locked="0"/>
    </xf>
    <xf numFmtId="170" fontId="19" fillId="0" borderId="0" xfId="29" applyNumberFormat="1" applyFont="1" applyAlignment="1" applyProtection="1">
      <alignment vertical="center" wrapText="1"/>
      <protection locked="0"/>
    </xf>
    <xf numFmtId="170" fontId="21" fillId="0" borderId="0" xfId="29" applyNumberFormat="1" applyFont="1" applyAlignment="1" applyProtection="1">
      <alignment vertical="center" wrapText="1"/>
      <protection locked="0"/>
    </xf>
    <xf numFmtId="0" fontId="18" fillId="0" borderId="0" xfId="169" applyFill="1" applyBorder="1" applyAlignment="1" applyProtection="1">
      <alignment vertical="center" wrapText="1"/>
      <protection locked="0"/>
    </xf>
    <xf numFmtId="0" fontId="53" fillId="0" borderId="41" xfId="47" applyFont="1" applyFill="1" applyBorder="1" applyAlignment="1" applyProtection="1">
      <alignment vertical="center" wrapText="1"/>
      <protection locked="0"/>
    </xf>
    <xf numFmtId="0" fontId="54" fillId="0" borderId="33" xfId="47" applyFont="1" applyFill="1" applyBorder="1" applyAlignment="1" applyProtection="1">
      <alignment horizontal="center" vertical="center" wrapText="1"/>
      <protection locked="0"/>
    </xf>
    <xf numFmtId="0" fontId="54" fillId="0" borderId="70" xfId="47" applyFont="1" applyFill="1" applyBorder="1" applyAlignment="1" applyProtection="1">
      <alignment horizontal="center" vertical="center" wrapText="1"/>
      <protection locked="0"/>
    </xf>
    <xf numFmtId="169" fontId="53" fillId="0" borderId="19" xfId="126" applyNumberFormat="1" applyFont="1" applyBorder="1" applyAlignment="1" applyProtection="1">
      <alignment vertical="center" wrapText="1"/>
      <protection locked="0"/>
    </xf>
    <xf numFmtId="169" fontId="53" fillId="0" borderId="34" xfId="126" applyNumberFormat="1" applyFont="1" applyBorder="1" applyAlignment="1" applyProtection="1">
      <alignment vertical="center" wrapText="1"/>
      <protection locked="0"/>
    </xf>
    <xf numFmtId="0" fontId="55" fillId="0" borderId="29" xfId="51" applyFont="1" applyBorder="1" applyAlignment="1" applyProtection="1">
      <alignment horizontal="center" vertical="center" wrapText="1"/>
      <protection locked="0"/>
    </xf>
    <xf numFmtId="0" fontId="56" fillId="0" borderId="30" xfId="51" applyFont="1" applyBorder="1" applyAlignment="1" applyProtection="1">
      <alignment horizontal="center" vertical="center" wrapText="1"/>
      <protection locked="0"/>
    </xf>
    <xf numFmtId="0" fontId="56" fillId="0" borderId="74" xfId="51" applyFont="1" applyBorder="1" applyAlignment="1" applyProtection="1">
      <alignment horizontal="center" vertical="center" wrapText="1"/>
      <protection locked="0"/>
    </xf>
    <xf numFmtId="0" fontId="56" fillId="0" borderId="84" xfId="51" applyFont="1" applyBorder="1" applyAlignment="1" applyProtection="1">
      <alignment vertical="center" wrapText="1"/>
      <protection locked="0"/>
    </xf>
    <xf numFmtId="169" fontId="53" fillId="0" borderId="28" xfId="126" applyNumberFormat="1" applyFont="1" applyBorder="1" applyAlignment="1" applyProtection="1">
      <alignment vertical="center" wrapText="1"/>
      <protection locked="0"/>
    </xf>
    <xf numFmtId="169" fontId="55" fillId="0" borderId="28" xfId="126" applyNumberFormat="1" applyFont="1" applyBorder="1" applyAlignment="1" applyProtection="1">
      <alignment vertical="center" wrapText="1"/>
      <protection locked="0"/>
    </xf>
    <xf numFmtId="169" fontId="55" fillId="0" borderId="72" xfId="126" applyNumberFormat="1" applyFont="1" applyBorder="1" applyAlignment="1" applyProtection="1">
      <alignment vertical="center" wrapText="1"/>
      <protection locked="0"/>
    </xf>
    <xf numFmtId="0" fontId="56" fillId="0" borderId="36" xfId="51" applyFont="1" applyBorder="1" applyAlignment="1" applyProtection="1">
      <alignment vertical="center" wrapText="1"/>
      <protection locked="0"/>
    </xf>
    <xf numFmtId="169" fontId="55" fillId="0" borderId="19" xfId="126" applyNumberFormat="1" applyFont="1" applyBorder="1" applyAlignment="1" applyProtection="1">
      <alignment vertical="center" wrapText="1"/>
      <protection locked="0"/>
    </xf>
    <xf numFmtId="169" fontId="55" fillId="0" borderId="34" xfId="126" applyNumberFormat="1" applyFont="1" applyBorder="1" applyAlignment="1" applyProtection="1">
      <alignment vertical="center" wrapText="1"/>
      <protection locked="0"/>
    </xf>
    <xf numFmtId="10" fontId="55" fillId="0" borderId="104" xfId="51" applyNumberFormat="1" applyFont="1" applyFill="1" applyBorder="1" applyAlignment="1" applyProtection="1">
      <alignment vertical="center" wrapText="1"/>
      <protection locked="0"/>
    </xf>
    <xf numFmtId="10" fontId="55" fillId="0" borderId="90" xfId="51" applyNumberFormat="1" applyFont="1" applyFill="1" applyBorder="1" applyAlignment="1" applyProtection="1">
      <alignment vertical="center" wrapText="1"/>
      <protection locked="0"/>
    </xf>
    <xf numFmtId="0" fontId="55" fillId="0" borderId="27" xfId="51" applyFont="1" applyFill="1" applyBorder="1" applyAlignment="1" applyProtection="1">
      <alignment vertical="center" wrapText="1"/>
      <protection locked="0"/>
    </xf>
    <xf numFmtId="0" fontId="55" fillId="0" borderId="104" xfId="51" applyFont="1" applyFill="1" applyBorder="1" applyAlignment="1" applyProtection="1">
      <alignment vertical="center" wrapText="1"/>
      <protection locked="0"/>
    </xf>
    <xf numFmtId="0" fontId="55" fillId="0" borderId="90" xfId="51" applyFont="1" applyFill="1" applyBorder="1" applyAlignment="1" applyProtection="1">
      <alignment vertical="center" wrapText="1"/>
      <protection locked="0"/>
    </xf>
    <xf numFmtId="0" fontId="55" fillId="0" borderId="68" xfId="51" applyFont="1" applyFill="1" applyBorder="1" applyAlignment="1" applyProtection="1">
      <alignment vertical="center" wrapText="1"/>
      <protection locked="0"/>
    </xf>
    <xf numFmtId="10" fontId="55" fillId="0" borderId="106" xfId="51" applyNumberFormat="1" applyFont="1" applyFill="1" applyBorder="1" applyAlignment="1" applyProtection="1">
      <alignment vertical="center" wrapText="1"/>
      <protection locked="0"/>
    </xf>
    <xf numFmtId="10" fontId="55" fillId="0" borderId="0" xfId="51" applyNumberFormat="1" applyFont="1" applyFill="1" applyBorder="1" applyAlignment="1" applyProtection="1">
      <alignment vertical="center" wrapText="1"/>
      <protection locked="0"/>
    </xf>
    <xf numFmtId="9" fontId="55" fillId="0" borderId="19" xfId="168" applyFont="1" applyBorder="1" applyAlignment="1" applyProtection="1">
      <alignment vertical="center" wrapText="1"/>
      <protection locked="0"/>
    </xf>
    <xf numFmtId="0" fontId="55" fillId="0" borderId="24" xfId="51" applyFont="1" applyFill="1" applyBorder="1" applyAlignment="1" applyProtection="1">
      <alignment vertical="center" wrapText="1"/>
      <protection locked="0"/>
    </xf>
    <xf numFmtId="0" fontId="55" fillId="0" borderId="106" xfId="51" applyFont="1" applyFill="1" applyBorder="1" applyAlignment="1" applyProtection="1">
      <alignment vertical="center" wrapText="1"/>
      <protection locked="0"/>
    </xf>
    <xf numFmtId="0" fontId="55" fillId="0" borderId="0" xfId="51" applyFont="1" applyFill="1" applyBorder="1" applyAlignment="1" applyProtection="1">
      <alignment vertical="center" wrapText="1"/>
      <protection locked="0"/>
    </xf>
    <xf numFmtId="0" fontId="55" fillId="0" borderId="38" xfId="51" applyFont="1" applyFill="1" applyBorder="1" applyAlignment="1" applyProtection="1">
      <alignment vertical="center" wrapText="1"/>
      <protection locked="0"/>
    </xf>
    <xf numFmtId="10" fontId="55" fillId="0" borderId="85" xfId="51" applyNumberFormat="1" applyFont="1" applyFill="1" applyBorder="1" applyAlignment="1" applyProtection="1">
      <alignment vertical="center" wrapText="1"/>
      <protection locked="0"/>
    </xf>
    <xf numFmtId="10" fontId="55" fillId="0" borderId="21" xfId="51" applyNumberFormat="1" applyFont="1" applyFill="1" applyBorder="1" applyAlignment="1" applyProtection="1">
      <alignment vertical="center" wrapText="1"/>
      <protection locked="0"/>
    </xf>
    <xf numFmtId="0" fontId="55" fillId="0" borderId="22" xfId="51" applyFont="1" applyFill="1" applyBorder="1" applyAlignment="1" applyProtection="1">
      <alignment vertical="center" wrapText="1"/>
      <protection locked="0"/>
    </xf>
    <xf numFmtId="0" fontId="55" fillId="0" borderId="25" xfId="51" applyFont="1" applyFill="1" applyBorder="1" applyAlignment="1" applyProtection="1">
      <alignment vertical="center" wrapText="1"/>
      <protection locked="0"/>
    </xf>
    <xf numFmtId="10" fontId="55" fillId="0" borderId="19" xfId="51" applyNumberFormat="1" applyFont="1" applyBorder="1" applyAlignment="1" applyProtection="1">
      <alignment vertical="center" wrapText="1"/>
      <protection locked="0"/>
    </xf>
    <xf numFmtId="0" fontId="55" fillId="0" borderId="85" xfId="51" applyFont="1" applyFill="1" applyBorder="1" applyAlignment="1" applyProtection="1">
      <alignment vertical="center" wrapText="1"/>
      <protection locked="0"/>
    </xf>
    <xf numFmtId="0" fontId="55" fillId="0" borderId="21" xfId="51" applyFont="1" applyFill="1" applyBorder="1" applyAlignment="1" applyProtection="1">
      <alignment vertical="center" wrapText="1"/>
      <protection locked="0"/>
    </xf>
    <xf numFmtId="0" fontId="55" fillId="0" borderId="64" xfId="51" applyFont="1" applyFill="1" applyBorder="1" applyAlignment="1" applyProtection="1">
      <alignment vertical="center" wrapText="1"/>
      <protection locked="0"/>
    </xf>
    <xf numFmtId="10" fontId="55" fillId="0" borderId="22" xfId="51" applyNumberFormat="1" applyFont="1" applyBorder="1" applyAlignment="1" applyProtection="1">
      <alignment vertical="center" wrapText="1"/>
      <protection locked="0"/>
    </xf>
    <xf numFmtId="9" fontId="55" fillId="0" borderId="34" xfId="168" applyFont="1" applyFill="1" applyBorder="1" applyAlignment="1" applyProtection="1">
      <alignment vertical="center" wrapText="1"/>
      <protection locked="0"/>
    </xf>
    <xf numFmtId="168" fontId="55" fillId="0" borderId="34" xfId="168" applyNumberFormat="1" applyFont="1" applyFill="1" applyBorder="1" applyAlignment="1" applyProtection="1">
      <alignment vertical="center" wrapText="1"/>
      <protection locked="0"/>
    </xf>
    <xf numFmtId="0" fontId="56" fillId="0" borderId="37" xfId="51" applyFont="1" applyBorder="1" applyAlignment="1" applyProtection="1">
      <alignment vertical="center" wrapText="1"/>
      <protection locked="0"/>
    </xf>
    <xf numFmtId="10" fontId="55" fillId="0" borderId="86" xfId="51" applyNumberFormat="1" applyFont="1" applyFill="1" applyBorder="1" applyAlignment="1" applyProtection="1">
      <alignment vertical="center" wrapText="1"/>
      <protection locked="0"/>
    </xf>
    <xf numFmtId="10" fontId="55" fillId="0" borderId="39" xfId="51" applyNumberFormat="1" applyFont="1" applyFill="1" applyBorder="1" applyAlignment="1" applyProtection="1">
      <alignment vertical="center" wrapText="1"/>
      <protection locked="0"/>
    </xf>
    <xf numFmtId="0" fontId="55" fillId="0" borderId="39" xfId="51" applyFont="1" applyFill="1" applyBorder="1" applyAlignment="1" applyProtection="1">
      <alignment vertical="center" wrapText="1"/>
      <protection locked="0"/>
    </xf>
    <xf numFmtId="0" fontId="55" fillId="0" borderId="48" xfId="51" applyFont="1" applyFill="1" applyBorder="1" applyAlignment="1" applyProtection="1">
      <alignment vertical="center" wrapText="1"/>
      <protection locked="0"/>
    </xf>
    <xf numFmtId="10" fontId="55" fillId="0" borderId="35" xfId="51" applyNumberFormat="1" applyFont="1" applyBorder="1" applyAlignment="1" applyProtection="1">
      <alignment vertical="center" wrapText="1"/>
      <protection locked="0"/>
    </xf>
    <xf numFmtId="0" fontId="55" fillId="0" borderId="86" xfId="51" applyFont="1" applyFill="1" applyBorder="1" applyAlignment="1" applyProtection="1">
      <alignment vertical="center" wrapText="1"/>
      <protection locked="0"/>
    </xf>
    <xf numFmtId="0" fontId="55" fillId="0" borderId="40" xfId="51" applyFont="1" applyFill="1" applyBorder="1" applyAlignment="1" applyProtection="1">
      <alignment vertical="center" wrapText="1"/>
      <protection locked="0"/>
    </xf>
    <xf numFmtId="0" fontId="22" fillId="0" borderId="0" xfId="169" applyFont="1" applyAlignment="1" applyProtection="1">
      <alignment vertical="center" wrapText="1"/>
      <protection locked="0"/>
    </xf>
    <xf numFmtId="0" fontId="19" fillId="0" borderId="0" xfId="169" applyFont="1" applyAlignment="1" applyProtection="1">
      <alignment vertical="center" wrapText="1"/>
      <protection locked="0"/>
    </xf>
    <xf numFmtId="0" fontId="19" fillId="0" borderId="0" xfId="169" applyFont="1" applyAlignment="1" applyProtection="1">
      <alignment horizontal="left" vertical="top"/>
      <protection locked="0"/>
    </xf>
    <xf numFmtId="0" fontId="54" fillId="0" borderId="0" xfId="47" applyFont="1" applyFill="1" applyBorder="1" applyAlignment="1" applyProtection="1">
      <alignment horizontal="center" vertical="center" wrapText="1"/>
      <protection locked="0"/>
    </xf>
    <xf numFmtId="0" fontId="19" fillId="0" borderId="0" xfId="169" applyFont="1" applyAlignment="1" applyProtection="1">
      <alignment vertical="top" wrapText="1"/>
      <protection locked="0"/>
    </xf>
    <xf numFmtId="169" fontId="53" fillId="59" borderId="81" xfId="126" applyNumberFormat="1" applyFont="1" applyFill="1" applyBorder="1" applyAlignment="1" applyProtection="1">
      <alignment vertical="center" wrapText="1"/>
      <protection locked="0"/>
    </xf>
    <xf numFmtId="169" fontId="53" fillId="59" borderId="82" xfId="126" applyNumberFormat="1" applyFont="1" applyFill="1" applyBorder="1" applyAlignment="1" applyProtection="1">
      <alignment vertical="center" wrapText="1"/>
      <protection locked="0"/>
    </xf>
    <xf numFmtId="3" fontId="18" fillId="0" borderId="0" xfId="169" applyNumberFormat="1" applyFill="1" applyBorder="1" applyAlignment="1" applyProtection="1">
      <alignment vertical="center" wrapText="1"/>
      <protection locked="0"/>
    </xf>
    <xf numFmtId="3" fontId="18" fillId="0" borderId="0" xfId="169" applyNumberFormat="1" applyAlignment="1" applyProtection="1">
      <alignment vertical="center" wrapText="1"/>
      <protection locked="0"/>
    </xf>
    <xf numFmtId="0" fontId="18" fillId="0" borderId="0" xfId="163"/>
    <xf numFmtId="0" fontId="21" fillId="0" borderId="0" xfId="163" applyFont="1" applyAlignment="1" applyProtection="1">
      <alignment horizontal="right" vertical="top"/>
      <protection locked="0"/>
    </xf>
    <xf numFmtId="0" fontId="21" fillId="59" borderId="102" xfId="163" applyFont="1" applyFill="1" applyBorder="1" applyAlignment="1" applyProtection="1">
      <alignment horizontal="right" vertical="top"/>
      <protection locked="0"/>
    </xf>
    <xf numFmtId="0" fontId="21" fillId="59" borderId="0" xfId="163" applyFont="1" applyFill="1" applyAlignment="1" applyProtection="1">
      <alignment horizontal="right" vertical="top"/>
      <protection locked="0"/>
    </xf>
    <xf numFmtId="0" fontId="19" fillId="0" borderId="0" xfId="163" applyFont="1" applyProtection="1">
      <protection locked="0"/>
    </xf>
    <xf numFmtId="169" fontId="18" fillId="59" borderId="19" xfId="126" applyNumberFormat="1" applyFont="1" applyFill="1" applyBorder="1" applyProtection="1">
      <protection locked="0"/>
    </xf>
    <xf numFmtId="169" fontId="18" fillId="0" borderId="43" xfId="126" applyNumberFormat="1" applyFont="1" applyBorder="1" applyProtection="1">
      <protection locked="0"/>
    </xf>
    <xf numFmtId="169" fontId="18" fillId="59" borderId="28" xfId="126" applyNumberFormat="1" applyFont="1" applyFill="1" applyBorder="1" applyProtection="1">
      <protection locked="0"/>
    </xf>
    <xf numFmtId="0" fontId="22" fillId="0" borderId="0" xfId="163" applyFont="1" applyAlignment="1" applyProtection="1">
      <alignment horizontal="center"/>
      <protection locked="0"/>
    </xf>
    <xf numFmtId="169" fontId="19" fillId="0" borderId="0" xfId="163" applyNumberFormat="1" applyFont="1" applyProtection="1">
      <protection locked="0"/>
    </xf>
    <xf numFmtId="0" fontId="19" fillId="0" borderId="0" xfId="163" applyFont="1" applyAlignment="1" applyProtection="1">
      <alignment horizontal="center"/>
      <protection locked="0"/>
    </xf>
    <xf numFmtId="0" fontId="18" fillId="0" borderId="0" xfId="163" applyFill="1" applyProtection="1">
      <protection locked="0"/>
    </xf>
    <xf numFmtId="0" fontId="22" fillId="0" borderId="0" xfId="163" applyFont="1" applyAlignment="1" applyProtection="1">
      <alignment horizontal="left"/>
      <protection locked="0"/>
    </xf>
    <xf numFmtId="169" fontId="18" fillId="59" borderId="34" xfId="126" applyNumberFormat="1" applyFont="1" applyFill="1" applyBorder="1" applyProtection="1">
      <protection locked="0"/>
    </xf>
    <xf numFmtId="0" fontId="22" fillId="0" borderId="30" xfId="163" applyFont="1" applyFill="1" applyBorder="1" applyAlignment="1" applyProtection="1">
      <alignment horizontal="center" vertical="center" wrapText="1"/>
      <protection locked="0"/>
    </xf>
    <xf numFmtId="0" fontId="22" fillId="0" borderId="74" xfId="163" applyFont="1" applyFill="1" applyBorder="1" applyAlignment="1" applyProtection="1">
      <alignment horizontal="center" vertical="center" wrapText="1"/>
      <protection locked="0"/>
    </xf>
    <xf numFmtId="0" fontId="58" fillId="0" borderId="29" xfId="47" applyFont="1" applyFill="1" applyBorder="1" applyAlignment="1" applyProtection="1">
      <alignment vertical="center" wrapText="1"/>
      <protection locked="0"/>
    </xf>
    <xf numFmtId="0" fontId="22" fillId="58" borderId="30" xfId="163" applyFont="1" applyFill="1" applyBorder="1" applyAlignment="1" applyProtection="1">
      <alignment horizontal="center" vertical="top" wrapText="1"/>
      <protection locked="0"/>
    </xf>
    <xf numFmtId="0" fontId="22" fillId="58" borderId="74" xfId="163" applyFont="1" applyFill="1" applyBorder="1" applyAlignment="1" applyProtection="1">
      <alignment horizontal="center" vertical="top" wrapText="1"/>
      <protection locked="0"/>
    </xf>
    <xf numFmtId="0" fontId="22" fillId="0" borderId="41" xfId="163" applyFont="1" applyBorder="1" applyAlignment="1" applyProtection="1">
      <alignment vertical="center"/>
      <protection locked="0"/>
    </xf>
    <xf numFmtId="0" fontId="22" fillId="0" borderId="81" xfId="163" applyFont="1" applyFill="1" applyBorder="1" applyAlignment="1" applyProtection="1">
      <alignment horizontal="center" vertical="center" wrapText="1"/>
      <protection locked="0"/>
    </xf>
    <xf numFmtId="0" fontId="58" fillId="0" borderId="0" xfId="47" applyFont="1" applyFill="1" applyBorder="1" applyAlignment="1" applyProtection="1">
      <alignment vertical="center" wrapText="1"/>
      <protection locked="0"/>
    </xf>
    <xf numFmtId="0" fontId="22" fillId="0" borderId="63" xfId="163" applyFont="1" applyBorder="1" applyProtection="1">
      <protection locked="0"/>
    </xf>
    <xf numFmtId="169" fontId="18" fillId="59" borderId="52" xfId="126" applyNumberFormat="1" applyFont="1" applyFill="1" applyBorder="1" applyProtection="1">
      <protection locked="0"/>
    </xf>
    <xf numFmtId="169" fontId="18" fillId="0" borderId="42" xfId="126" applyNumberFormat="1" applyFont="1" applyBorder="1" applyProtection="1">
      <protection locked="0"/>
    </xf>
    <xf numFmtId="0" fontId="18" fillId="59" borderId="36" xfId="163" applyFill="1" applyBorder="1" applyProtection="1">
      <protection locked="0"/>
    </xf>
    <xf numFmtId="0" fontId="22" fillId="0" borderId="47" xfId="163" applyFont="1" applyBorder="1" applyProtection="1">
      <protection locked="0"/>
    </xf>
    <xf numFmtId="0" fontId="19" fillId="0" borderId="0" xfId="163" applyFont="1" applyAlignment="1" applyProtection="1">
      <alignment horizontal="center" vertical="top"/>
      <protection locked="0"/>
    </xf>
    <xf numFmtId="169" fontId="18" fillId="0" borderId="0" xfId="163" applyNumberFormat="1" applyFill="1" applyProtection="1">
      <protection locked="0"/>
    </xf>
    <xf numFmtId="169" fontId="18" fillId="0" borderId="0" xfId="163" applyNumberFormat="1" applyProtection="1">
      <protection locked="0"/>
    </xf>
    <xf numFmtId="0" fontId="19" fillId="59" borderId="36" xfId="163" applyFont="1" applyFill="1" applyBorder="1" applyProtection="1">
      <protection locked="0"/>
    </xf>
    <xf numFmtId="0" fontId="19" fillId="59" borderId="105" xfId="163" applyFont="1" applyFill="1" applyBorder="1" applyProtection="1">
      <protection locked="0"/>
    </xf>
    <xf numFmtId="169" fontId="18" fillId="59" borderId="20" xfId="126" applyNumberFormat="1" applyFont="1" applyFill="1" applyBorder="1" applyProtection="1">
      <protection locked="0"/>
    </xf>
    <xf numFmtId="0" fontId="19" fillId="59" borderId="19" xfId="163" applyFont="1" applyFill="1" applyBorder="1" applyProtection="1">
      <protection locked="0"/>
    </xf>
    <xf numFmtId="0" fontId="19" fillId="59" borderId="24" xfId="163" applyFont="1" applyFill="1" applyBorder="1" applyProtection="1">
      <protection locked="0"/>
    </xf>
    <xf numFmtId="0" fontId="18" fillId="0" borderId="0" xfId="177"/>
    <xf numFmtId="0" fontId="22" fillId="0" borderId="0" xfId="177" applyFont="1" applyProtection="1">
      <protection locked="0"/>
    </xf>
    <xf numFmtId="0" fontId="21" fillId="0" borderId="0" xfId="177" applyFont="1" applyAlignment="1" applyProtection="1">
      <alignment horizontal="right" vertical="top"/>
      <protection locked="0"/>
    </xf>
    <xf numFmtId="0" fontId="21" fillId="59" borderId="102" xfId="177" applyFont="1" applyFill="1" applyBorder="1" applyAlignment="1" applyProtection="1">
      <alignment horizontal="right" vertical="top"/>
      <protection locked="0"/>
    </xf>
    <xf numFmtId="0" fontId="21" fillId="59" borderId="0" xfId="177" applyFont="1" applyFill="1" applyAlignment="1" applyProtection="1">
      <alignment horizontal="right" vertical="top"/>
      <protection locked="0"/>
    </xf>
    <xf numFmtId="0" fontId="26" fillId="0" borderId="0" xfId="177" applyFont="1" applyAlignment="1" applyProtection="1">
      <protection locked="0"/>
    </xf>
    <xf numFmtId="0" fontId="22" fillId="0" borderId="59" xfId="177" applyFont="1" applyFill="1" applyBorder="1" applyProtection="1">
      <protection locked="0"/>
    </xf>
    <xf numFmtId="0" fontId="22" fillId="59" borderId="42" xfId="177" applyFont="1" applyFill="1" applyBorder="1" applyProtection="1">
      <protection locked="0"/>
    </xf>
    <xf numFmtId="3" fontId="18" fillId="0" borderId="19" xfId="126" applyNumberFormat="1" applyFont="1" applyFill="1" applyBorder="1" applyProtection="1">
      <protection locked="0"/>
    </xf>
    <xf numFmtId="0" fontId="22" fillId="0" borderId="42" xfId="177" applyFont="1" applyFill="1" applyBorder="1" applyProtection="1">
      <protection locked="0"/>
    </xf>
    <xf numFmtId="3" fontId="18" fillId="0" borderId="19" xfId="177" applyNumberFormat="1" applyFill="1" applyBorder="1" applyProtection="1">
      <protection locked="0"/>
    </xf>
    <xf numFmtId="0" fontId="22" fillId="59" borderId="42" xfId="177" applyFont="1" applyFill="1" applyBorder="1" applyAlignment="1" applyProtection="1">
      <alignment wrapText="1"/>
      <protection locked="0"/>
    </xf>
    <xf numFmtId="3" fontId="22" fillId="0" borderId="66" xfId="177" applyNumberFormat="1" applyFont="1" applyFill="1" applyBorder="1" applyProtection="1">
      <protection locked="0"/>
    </xf>
    <xf numFmtId="0" fontId="46" fillId="0" borderId="0" xfId="177" applyFont="1" applyAlignment="1" applyProtection="1">
      <alignment horizontal="left" vertical="top"/>
      <protection locked="0"/>
    </xf>
    <xf numFmtId="0" fontId="18" fillId="0" borderId="0" xfId="177" applyFill="1" applyProtection="1">
      <protection locked="0"/>
    </xf>
    <xf numFmtId="170" fontId="18" fillId="59" borderId="19" xfId="29" applyNumberFormat="1" applyFont="1" applyFill="1" applyBorder="1" applyProtection="1">
      <protection locked="0"/>
    </xf>
    <xf numFmtId="170" fontId="18" fillId="0" borderId="19" xfId="29" applyNumberFormat="1" applyFont="1" applyFill="1" applyBorder="1" applyProtection="1">
      <protection locked="0"/>
    </xf>
    <xf numFmtId="0" fontId="22" fillId="0" borderId="30" xfId="177" applyFont="1" applyFill="1" applyBorder="1" applyAlignment="1" applyProtection="1">
      <alignment horizontal="center" vertical="center" wrapText="1"/>
      <protection locked="0"/>
    </xf>
    <xf numFmtId="0" fontId="22" fillId="0" borderId="74" xfId="177" applyFont="1" applyFill="1" applyBorder="1" applyAlignment="1" applyProtection="1">
      <alignment horizontal="center" vertical="center" wrapText="1"/>
      <protection locked="0"/>
    </xf>
    <xf numFmtId="0" fontId="58" fillId="0" borderId="29" xfId="47" applyFont="1" applyFill="1" applyBorder="1" applyAlignment="1" applyProtection="1">
      <alignment vertical="center" wrapText="1"/>
      <protection locked="0"/>
    </xf>
    <xf numFmtId="0" fontId="22" fillId="58" borderId="30" xfId="177" applyFont="1" applyFill="1" applyBorder="1" applyAlignment="1" applyProtection="1">
      <alignment horizontal="center" vertical="top" wrapText="1"/>
      <protection locked="0"/>
    </xf>
    <xf numFmtId="0" fontId="57" fillId="59" borderId="42" xfId="177" applyFont="1" applyFill="1" applyBorder="1" applyProtection="1">
      <protection locked="0"/>
    </xf>
    <xf numFmtId="170" fontId="18" fillId="64" borderId="19" xfId="29" applyNumberFormat="1" applyFont="1" applyFill="1" applyBorder="1" applyProtection="1">
      <protection locked="0"/>
    </xf>
    <xf numFmtId="0" fontId="57" fillId="59" borderId="42" xfId="177" applyFont="1" applyFill="1" applyBorder="1" applyAlignment="1" applyProtection="1">
      <alignment wrapText="1"/>
      <protection locked="0"/>
    </xf>
    <xf numFmtId="0" fontId="22" fillId="59" borderId="19" xfId="177" applyFont="1" applyFill="1" applyBorder="1" applyAlignment="1" applyProtection="1">
      <alignment wrapText="1"/>
      <protection locked="0"/>
    </xf>
    <xf numFmtId="170" fontId="18" fillId="0" borderId="28" xfId="29" applyNumberFormat="1" applyFont="1" applyFill="1" applyBorder="1" applyProtection="1">
      <protection locked="0"/>
    </xf>
    <xf numFmtId="170" fontId="18" fillId="64" borderId="26" xfId="29" applyNumberFormat="1" applyFont="1" applyFill="1" applyBorder="1" applyProtection="1">
      <protection locked="0"/>
    </xf>
    <xf numFmtId="170" fontId="22" fillId="0" borderId="66" xfId="29" applyNumberFormat="1" applyFont="1" applyFill="1" applyBorder="1" applyProtection="1">
      <protection locked="0"/>
    </xf>
    <xf numFmtId="170" fontId="18" fillId="0" borderId="0" xfId="177" applyNumberFormat="1" applyProtection="1">
      <protection locked="0"/>
    </xf>
    <xf numFmtId="170" fontId="19" fillId="0" borderId="0" xfId="177" applyNumberFormat="1" applyFont="1" applyProtection="1">
      <protection locked="0"/>
    </xf>
    <xf numFmtId="0" fontId="18" fillId="0" borderId="0" xfId="151"/>
    <xf numFmtId="0" fontId="21" fillId="0" borderId="0" xfId="151" applyFont="1" applyAlignment="1" applyProtection="1">
      <alignment horizontal="right" vertical="top"/>
      <protection locked="0"/>
    </xf>
    <xf numFmtId="0" fontId="21" fillId="59" borderId="102" xfId="151" applyFont="1" applyFill="1" applyBorder="1" applyAlignment="1" applyProtection="1">
      <alignment horizontal="right" vertical="top"/>
      <protection locked="0"/>
    </xf>
    <xf numFmtId="0" fontId="21" fillId="59" borderId="0" xfId="151" applyFont="1" applyFill="1" applyAlignment="1" applyProtection="1">
      <alignment horizontal="right" vertical="top"/>
      <protection locked="0"/>
    </xf>
    <xf numFmtId="0" fontId="22" fillId="0" borderId="0" xfId="151" applyFont="1" applyFill="1" applyBorder="1" applyProtection="1">
      <protection locked="0"/>
    </xf>
    <xf numFmtId="0" fontId="19" fillId="0" borderId="0" xfId="151" applyFont="1" applyAlignment="1" applyProtection="1">
      <alignment horizontal="center"/>
      <protection locked="0"/>
    </xf>
    <xf numFmtId="0" fontId="18" fillId="0" borderId="0" xfId="151" applyFill="1" applyProtection="1">
      <protection locked="0"/>
    </xf>
    <xf numFmtId="0" fontId="22" fillId="0" borderId="0" xfId="151" applyFont="1" applyAlignment="1" applyProtection="1">
      <alignment horizontal="left"/>
      <protection locked="0"/>
    </xf>
    <xf numFmtId="0" fontId="22" fillId="0" borderId="30" xfId="151" applyFont="1" applyFill="1" applyBorder="1" applyAlignment="1" applyProtection="1">
      <alignment horizontal="center" vertical="center" wrapText="1"/>
      <protection locked="0"/>
    </xf>
    <xf numFmtId="0" fontId="22" fillId="0" borderId="74" xfId="151" applyFont="1" applyFill="1" applyBorder="1" applyAlignment="1" applyProtection="1">
      <alignment horizontal="center" vertical="center" wrapText="1"/>
      <protection locked="0"/>
    </xf>
    <xf numFmtId="0" fontId="22" fillId="58" borderId="30" xfId="151" applyFont="1" applyFill="1" applyBorder="1" applyAlignment="1" applyProtection="1">
      <alignment horizontal="center" vertical="top" wrapText="1"/>
      <protection locked="0"/>
    </xf>
    <xf numFmtId="0" fontId="22" fillId="58" borderId="74" xfId="151" applyFont="1" applyFill="1" applyBorder="1" applyAlignment="1" applyProtection="1">
      <alignment horizontal="center" vertical="top" wrapText="1"/>
      <protection locked="0"/>
    </xf>
    <xf numFmtId="0" fontId="22" fillId="0" borderId="78" xfId="151" applyFont="1" applyBorder="1" applyAlignment="1" applyProtection="1">
      <protection locked="0"/>
    </xf>
    <xf numFmtId="0" fontId="18" fillId="0" borderId="77" xfId="151" applyBorder="1" applyAlignment="1" applyProtection="1">
      <protection locked="0"/>
    </xf>
    <xf numFmtId="0" fontId="22" fillId="64" borderId="19" xfId="151" applyFont="1" applyFill="1" applyBorder="1" applyAlignment="1" applyProtection="1">
      <alignment horizontal="center" vertical="center" wrapText="1"/>
      <protection locked="0"/>
    </xf>
    <xf numFmtId="170" fontId="22" fillId="59" borderId="28" xfId="29" applyNumberFormat="1" applyFont="1" applyFill="1" applyBorder="1" applyProtection="1">
      <protection locked="0"/>
    </xf>
    <xf numFmtId="170" fontId="22" fillId="59" borderId="72" xfId="29" applyNumberFormat="1" applyFont="1" applyFill="1" applyBorder="1" applyProtection="1">
      <protection locked="0"/>
    </xf>
    <xf numFmtId="169" fontId="22" fillId="59" borderId="19" xfId="126" applyNumberFormat="1" applyFont="1" applyFill="1" applyBorder="1" applyProtection="1">
      <protection locked="0"/>
    </xf>
    <xf numFmtId="169" fontId="22" fillId="59" borderId="34" xfId="126" applyNumberFormat="1" applyFont="1" applyFill="1" applyBorder="1" applyProtection="1">
      <protection locked="0"/>
    </xf>
    <xf numFmtId="166" fontId="22" fillId="0" borderId="19" xfId="126" applyFont="1" applyBorder="1" applyProtection="1">
      <protection locked="0"/>
    </xf>
    <xf numFmtId="166" fontId="22" fillId="0" borderId="34" xfId="126" applyFont="1" applyBorder="1" applyProtection="1">
      <protection locked="0"/>
    </xf>
    <xf numFmtId="167" fontId="22" fillId="0" borderId="19" xfId="29" applyFont="1" applyBorder="1" applyProtection="1">
      <protection locked="0"/>
    </xf>
    <xf numFmtId="167" fontId="22" fillId="0" borderId="34" xfId="29" applyFont="1" applyBorder="1" applyProtection="1">
      <protection locked="0"/>
    </xf>
    <xf numFmtId="167" fontId="22" fillId="0" borderId="35" xfId="29" applyFont="1" applyBorder="1" applyProtection="1">
      <protection locked="0"/>
    </xf>
    <xf numFmtId="167" fontId="22" fillId="0" borderId="71" xfId="29" applyFont="1" applyBorder="1" applyProtection="1">
      <protection locked="0"/>
    </xf>
    <xf numFmtId="0" fontId="19" fillId="0" borderId="0" xfId="151" quotePrefix="1" applyFont="1" applyAlignment="1" applyProtection="1">
      <alignment horizontal="center"/>
      <protection locked="0"/>
    </xf>
    <xf numFmtId="0" fontId="18" fillId="0" borderId="0" xfId="151" applyAlignment="1" applyProtection="1">
      <alignment horizontal="center"/>
      <protection locked="0"/>
    </xf>
    <xf numFmtId="0" fontId="21" fillId="0" borderId="0" xfId="47" applyFont="1" applyAlignment="1" applyProtection="1">
      <alignment horizontal="right" vertical="top"/>
      <protection locked="0"/>
    </xf>
    <xf numFmtId="1" fontId="22" fillId="59" borderId="19" xfId="151" applyNumberFormat="1" applyFont="1" applyFill="1" applyBorder="1" applyProtection="1">
      <protection locked="0"/>
    </xf>
    <xf numFmtId="1" fontId="22" fillId="59" borderId="34" xfId="151" applyNumberFormat="1" applyFont="1" applyFill="1" applyBorder="1" applyProtection="1">
      <protection locked="0"/>
    </xf>
    <xf numFmtId="0" fontId="18" fillId="0" borderId="0" xfId="185"/>
    <xf numFmtId="173" fontId="19" fillId="59" borderId="0" xfId="47" applyNumberFormat="1" applyFill="1" applyAlignment="1" applyProtection="1">
      <alignment horizontal="center" vertical="center"/>
      <protection locked="0"/>
    </xf>
    <xf numFmtId="0" fontId="21" fillId="0" borderId="0" xfId="185" applyFont="1" applyProtection="1">
      <protection locked="0"/>
    </xf>
    <xf numFmtId="0" fontId="21" fillId="0" borderId="0" xfId="185" applyFont="1" applyAlignment="1" applyProtection="1">
      <alignment horizontal="right" vertical="top"/>
      <protection locked="0"/>
    </xf>
    <xf numFmtId="0" fontId="21" fillId="59" borderId="102" xfId="185" applyFont="1" applyFill="1" applyBorder="1" applyAlignment="1" applyProtection="1">
      <alignment horizontal="right" vertical="top"/>
      <protection locked="0"/>
    </xf>
    <xf numFmtId="0" fontId="21" fillId="59" borderId="0" xfId="185" applyFont="1" applyFill="1" applyAlignment="1" applyProtection="1">
      <alignment horizontal="right" vertical="top"/>
      <protection locked="0"/>
    </xf>
    <xf numFmtId="0" fontId="19" fillId="0" borderId="0" xfId="47" applyBorder="1" applyProtection="1">
      <protection locked="0"/>
    </xf>
    <xf numFmtId="0" fontId="22" fillId="0" borderId="0" xfId="47" applyFont="1" applyBorder="1" applyProtection="1">
      <protection locked="0"/>
    </xf>
    <xf numFmtId="0" fontId="22" fillId="0" borderId="0" xfId="185" applyFont="1" applyAlignment="1" applyProtection="1">
      <alignment horizontal="left"/>
      <protection locked="0"/>
    </xf>
    <xf numFmtId="174" fontId="19" fillId="0" borderId="0" xfId="47" applyNumberFormat="1" applyBorder="1" applyProtection="1">
      <protection locked="0"/>
    </xf>
    <xf numFmtId="0" fontId="22" fillId="0" borderId="0" xfId="47" quotePrefix="1" applyFont="1" applyAlignment="1" applyProtection="1">
      <alignment horizontal="center" vertical="center"/>
      <protection locked="0"/>
    </xf>
    <xf numFmtId="0" fontId="21" fillId="0" borderId="0" xfId="47" applyFont="1" applyProtection="1">
      <protection locked="0"/>
    </xf>
    <xf numFmtId="0" fontId="77" fillId="0" borderId="0" xfId="47" applyFont="1" applyAlignment="1" applyProtection="1">
      <alignment horizontal="center" vertical="center"/>
      <protection locked="0"/>
    </xf>
    <xf numFmtId="0" fontId="70" fillId="0" borderId="0" xfId="185" applyFont="1" applyAlignment="1" applyProtection="1">
      <alignment horizontal="right"/>
      <protection locked="0"/>
    </xf>
    <xf numFmtId="0" fontId="21" fillId="0" borderId="0" xfId="47" applyFont="1" applyBorder="1" applyProtection="1">
      <protection locked="0"/>
    </xf>
    <xf numFmtId="0" fontId="70" fillId="0" borderId="21" xfId="47" applyFont="1" applyBorder="1" applyAlignment="1" applyProtection="1">
      <alignment horizontal="center" vertical="center"/>
      <protection locked="0"/>
    </xf>
    <xf numFmtId="0" fontId="70" fillId="0" borderId="0" xfId="47" applyFont="1" applyBorder="1" applyAlignment="1" applyProtection="1">
      <alignment vertical="center"/>
      <protection locked="0"/>
    </xf>
    <xf numFmtId="0" fontId="70" fillId="0" borderId="0" xfId="47" applyFont="1" applyBorder="1" applyAlignment="1" applyProtection="1">
      <alignment horizontal="center" vertical="center"/>
      <protection locked="0"/>
    </xf>
    <xf numFmtId="0" fontId="70" fillId="0" borderId="0" xfId="47" applyFont="1" applyProtection="1">
      <protection locked="0"/>
    </xf>
    <xf numFmtId="0" fontId="21" fillId="0" borderId="0" xfId="47" applyFont="1" applyBorder="1" applyAlignment="1" applyProtection="1">
      <alignment horizontal="center"/>
      <protection locked="0"/>
    </xf>
    <xf numFmtId="0" fontId="70" fillId="0" borderId="0" xfId="47" applyFont="1" applyBorder="1" applyProtection="1">
      <protection locked="0"/>
    </xf>
    <xf numFmtId="0" fontId="21" fillId="0" borderId="0" xfId="47" quotePrefix="1" applyFont="1" applyBorder="1" applyAlignment="1" applyProtection="1">
      <alignment horizontal="center"/>
      <protection locked="0"/>
    </xf>
    <xf numFmtId="0" fontId="21" fillId="0" borderId="0" xfId="47" quotePrefix="1" applyFont="1" applyBorder="1" applyAlignment="1" applyProtection="1">
      <alignment horizontal="right"/>
      <protection locked="0"/>
    </xf>
    <xf numFmtId="0" fontId="70" fillId="0" borderId="21" xfId="47" applyFont="1" applyBorder="1" applyProtection="1">
      <protection locked="0"/>
    </xf>
    <xf numFmtId="0" fontId="21" fillId="0" borderId="0" xfId="47" quotePrefix="1" applyFont="1" applyBorder="1" applyProtection="1">
      <protection locked="0"/>
    </xf>
    <xf numFmtId="10" fontId="21" fillId="59" borderId="0" xfId="159" applyNumberFormat="1" applyFont="1" applyFill="1" applyBorder="1" applyProtection="1">
      <protection locked="0"/>
    </xf>
    <xf numFmtId="10" fontId="21" fillId="0" borderId="0" xfId="159" applyNumberFormat="1" applyFont="1" applyFill="1" applyBorder="1" applyProtection="1">
      <protection locked="0"/>
    </xf>
    <xf numFmtId="173" fontId="21" fillId="59" borderId="0" xfId="47" applyNumberFormat="1" applyFont="1" applyFill="1" applyBorder="1" applyProtection="1">
      <protection locked="0"/>
    </xf>
    <xf numFmtId="173" fontId="21" fillId="0" borderId="0" xfId="47" applyNumberFormat="1" applyFont="1" applyFill="1" applyBorder="1" applyProtection="1">
      <protection locked="0"/>
    </xf>
    <xf numFmtId="174" fontId="21" fillId="0" borderId="0" xfId="126" applyNumberFormat="1" applyFont="1" applyBorder="1" applyProtection="1">
      <protection locked="0"/>
    </xf>
    <xf numFmtId="167" fontId="19" fillId="0" borderId="0" xfId="29" applyProtection="1">
      <protection locked="0"/>
    </xf>
    <xf numFmtId="10" fontId="21" fillId="59" borderId="21" xfId="159" applyNumberFormat="1" applyFont="1" applyFill="1" applyBorder="1" applyProtection="1">
      <protection locked="0"/>
    </xf>
    <xf numFmtId="173" fontId="21" fillId="0" borderId="0" xfId="47" quotePrefix="1" applyNumberFormat="1" applyFont="1" applyFill="1" applyBorder="1" applyProtection="1">
      <protection locked="0"/>
    </xf>
    <xf numFmtId="174" fontId="21" fillId="0" borderId="21" xfId="126" applyNumberFormat="1" applyFont="1" applyBorder="1" applyProtection="1">
      <protection locked="0"/>
    </xf>
    <xf numFmtId="168" fontId="21" fillId="0" borderId="23" xfId="159" applyNumberFormat="1" applyFont="1" applyBorder="1" applyProtection="1">
      <protection locked="0"/>
    </xf>
    <xf numFmtId="168" fontId="21" fillId="0" borderId="23" xfId="159" applyNumberFormat="1" applyFont="1" applyFill="1" applyBorder="1" applyProtection="1">
      <protection locked="0"/>
    </xf>
    <xf numFmtId="174" fontId="21" fillId="0" borderId="23" xfId="126" applyNumberFormat="1" applyFont="1" applyBorder="1" applyProtection="1">
      <protection locked="0"/>
    </xf>
    <xf numFmtId="10" fontId="21" fillId="0" borderId="23" xfId="159" applyNumberFormat="1" applyFont="1" applyBorder="1" applyProtection="1">
      <protection locked="0"/>
    </xf>
    <xf numFmtId="0" fontId="21" fillId="64" borderId="0" xfId="47" applyFont="1" applyFill="1" applyBorder="1" applyProtection="1">
      <protection locked="0"/>
    </xf>
    <xf numFmtId="0" fontId="21" fillId="0" borderId="0" xfId="47" applyFont="1" applyFill="1" applyBorder="1" applyProtection="1">
      <protection locked="0"/>
    </xf>
    <xf numFmtId="168" fontId="21" fillId="0" borderId="0" xfId="159" applyNumberFormat="1" applyFont="1" applyBorder="1" applyProtection="1">
      <protection locked="0"/>
    </xf>
    <xf numFmtId="168" fontId="21" fillId="0" borderId="0" xfId="159" applyNumberFormat="1" applyFont="1" applyFill="1" applyBorder="1" applyProtection="1">
      <protection locked="0"/>
    </xf>
    <xf numFmtId="174" fontId="21" fillId="0" borderId="0" xfId="47" applyNumberFormat="1" applyFont="1" applyBorder="1" applyProtection="1">
      <protection locked="0"/>
    </xf>
    <xf numFmtId="10" fontId="21" fillId="0" borderId="0" xfId="159" applyNumberFormat="1" applyFont="1" applyBorder="1" applyProtection="1">
      <protection locked="0"/>
    </xf>
    <xf numFmtId="0" fontId="70" fillId="0" borderId="0" xfId="47" applyFont="1" applyBorder="1" applyAlignment="1" applyProtection="1">
      <protection locked="0"/>
    </xf>
    <xf numFmtId="0" fontId="21" fillId="0" borderId="0" xfId="47" applyFont="1" applyBorder="1" applyAlignment="1" applyProtection="1">
      <protection locked="0"/>
    </xf>
    <xf numFmtId="0" fontId="21" fillId="0" borderId="0" xfId="47" quotePrefix="1" applyFont="1" applyBorder="1" applyAlignment="1" applyProtection="1">
      <protection locked="0"/>
    </xf>
    <xf numFmtId="10" fontId="21" fillId="59" borderId="0" xfId="159" applyNumberFormat="1" applyFont="1" applyFill="1" applyBorder="1" applyAlignment="1" applyProtection="1">
      <protection locked="0"/>
    </xf>
    <xf numFmtId="10" fontId="21" fillId="0" borderId="0" xfId="159" applyNumberFormat="1" applyFont="1" applyFill="1" applyBorder="1" applyAlignment="1" applyProtection="1">
      <protection locked="0"/>
    </xf>
    <xf numFmtId="174" fontId="21" fillId="0" borderId="0" xfId="126" applyNumberFormat="1" applyFont="1" applyBorder="1" applyAlignment="1" applyProtection="1">
      <protection locked="0"/>
    </xf>
    <xf numFmtId="10" fontId="21" fillId="59" borderId="21" xfId="159" applyNumberFormat="1" applyFont="1" applyFill="1" applyBorder="1" applyAlignment="1" applyProtection="1">
      <protection locked="0"/>
    </xf>
    <xf numFmtId="174" fontId="21" fillId="0" borderId="21" xfId="126" applyNumberFormat="1" applyFont="1" applyBorder="1" applyAlignment="1" applyProtection="1">
      <protection locked="0"/>
    </xf>
    <xf numFmtId="168" fontId="21" fillId="0" borderId="107" xfId="47" applyNumberFormat="1" applyFont="1" applyBorder="1" applyProtection="1">
      <protection locked="0"/>
    </xf>
    <xf numFmtId="9" fontId="21" fillId="0" borderId="107" xfId="47" applyNumberFormat="1" applyFont="1" applyBorder="1" applyProtection="1">
      <protection locked="0"/>
    </xf>
    <xf numFmtId="174" fontId="21" fillId="59" borderId="107" xfId="126" applyNumberFormat="1" applyFont="1" applyFill="1" applyBorder="1" applyProtection="1">
      <protection locked="0"/>
    </xf>
    <xf numFmtId="10" fontId="21" fillId="0" borderId="107" xfId="159" applyNumberFormat="1" applyFont="1" applyBorder="1" applyProtection="1">
      <protection locked="0"/>
    </xf>
    <xf numFmtId="174" fontId="21" fillId="0" borderId="107" xfId="126" applyNumberFormat="1" applyFont="1" applyBorder="1" applyProtection="1">
      <protection locked="0"/>
    </xf>
    <xf numFmtId="0" fontId="59" fillId="0" borderId="0" xfId="47" applyFont="1" applyProtection="1">
      <protection locked="0"/>
    </xf>
    <xf numFmtId="0" fontId="59" fillId="0" borderId="0" xfId="47" applyFont="1" applyBorder="1" applyProtection="1">
      <protection locked="0"/>
    </xf>
    <xf numFmtId="0" fontId="18" fillId="0" borderId="0" xfId="180"/>
    <xf numFmtId="0" fontId="18" fillId="0" borderId="0" xfId="180" applyProtection="1">
      <protection locked="0"/>
    </xf>
    <xf numFmtId="0" fontId="22" fillId="0" borderId="0" xfId="180" applyFont="1" applyProtection="1">
      <protection locked="0"/>
    </xf>
    <xf numFmtId="0" fontId="21" fillId="0" borderId="0" xfId="180" applyFont="1" applyAlignment="1" applyProtection="1">
      <alignment horizontal="right" vertical="top"/>
      <protection locked="0"/>
    </xf>
    <xf numFmtId="0" fontId="21" fillId="59" borderId="102" xfId="180" applyFont="1" applyFill="1" applyBorder="1" applyAlignment="1" applyProtection="1">
      <alignment horizontal="right" vertical="top"/>
      <protection locked="0"/>
    </xf>
    <xf numFmtId="0" fontId="21" fillId="59" borderId="0" xfId="180" applyFont="1" applyFill="1" applyAlignment="1" applyProtection="1">
      <alignment horizontal="right" vertical="top"/>
      <protection locked="0"/>
    </xf>
    <xf numFmtId="0" fontId="22" fillId="0" borderId="33" xfId="180" applyFont="1" applyFill="1" applyBorder="1" applyAlignment="1" applyProtection="1">
      <alignment horizontal="center" vertical="center" wrapText="1"/>
      <protection locked="0"/>
    </xf>
    <xf numFmtId="0" fontId="19" fillId="0" borderId="0" xfId="180" applyFont="1" applyProtection="1">
      <protection locked="0"/>
    </xf>
    <xf numFmtId="169" fontId="18" fillId="59" borderId="19" xfId="126" applyNumberFormat="1" applyFont="1" applyFill="1" applyBorder="1" applyProtection="1">
      <protection locked="0"/>
    </xf>
    <xf numFmtId="0" fontId="18" fillId="0" borderId="0" xfId="180" applyFill="1" applyProtection="1">
      <protection locked="0"/>
    </xf>
    <xf numFmtId="0" fontId="22" fillId="0" borderId="0" xfId="180" applyFont="1" applyAlignment="1" applyProtection="1">
      <alignment horizontal="left"/>
      <protection locked="0"/>
    </xf>
    <xf numFmtId="169" fontId="18" fillId="59" borderId="34" xfId="126" applyNumberFormat="1" applyFont="1" applyFill="1" applyBorder="1" applyProtection="1">
      <protection locked="0"/>
    </xf>
    <xf numFmtId="0" fontId="18" fillId="59" borderId="19" xfId="180" applyFill="1" applyBorder="1" applyProtection="1">
      <protection locked="0"/>
    </xf>
    <xf numFmtId="0" fontId="18" fillId="59" borderId="34" xfId="180" applyFill="1" applyBorder="1" applyProtection="1">
      <protection locked="0"/>
    </xf>
    <xf numFmtId="0" fontId="22" fillId="0" borderId="70" xfId="180" applyFont="1" applyFill="1" applyBorder="1" applyAlignment="1" applyProtection="1">
      <alignment horizontal="center"/>
      <protection locked="0"/>
    </xf>
    <xf numFmtId="0" fontId="22" fillId="0" borderId="19" xfId="180" applyFont="1" applyFill="1" applyBorder="1" applyAlignment="1" applyProtection="1">
      <alignment horizontal="center"/>
      <protection locked="0"/>
    </xf>
    <xf numFmtId="0" fontId="22" fillId="0" borderId="34" xfId="180" applyFont="1" applyFill="1" applyBorder="1" applyAlignment="1" applyProtection="1">
      <alignment horizontal="center"/>
      <protection locked="0"/>
    </xf>
    <xf numFmtId="169" fontId="18" fillId="59" borderId="26" xfId="126" applyNumberFormat="1" applyFont="1" applyFill="1" applyBorder="1" applyProtection="1">
      <protection locked="0"/>
    </xf>
    <xf numFmtId="0" fontId="22" fillId="0" borderId="0" xfId="180" applyFont="1" applyAlignment="1" applyProtection="1">
      <protection locked="0"/>
    </xf>
    <xf numFmtId="0" fontId="18" fillId="0" borderId="34" xfId="180" applyBorder="1" applyProtection="1">
      <protection locked="0"/>
    </xf>
    <xf numFmtId="0" fontId="22" fillId="0" borderId="58" xfId="180" applyFont="1" applyFill="1" applyBorder="1" applyAlignment="1" applyProtection="1">
      <alignment vertical="center" wrapText="1"/>
      <protection locked="0"/>
    </xf>
    <xf numFmtId="0" fontId="18" fillId="0" borderId="70" xfId="180" applyFill="1" applyBorder="1" applyAlignment="1" applyProtection="1">
      <alignment horizontal="center" vertical="center" wrapText="1"/>
      <protection locked="0"/>
    </xf>
    <xf numFmtId="0" fontId="18" fillId="0" borderId="63" xfId="180" applyBorder="1" applyAlignment="1" applyProtection="1">
      <alignment horizontal="left" vertical="center" wrapText="1"/>
      <protection locked="0"/>
    </xf>
    <xf numFmtId="10" fontId="18" fillId="0" borderId="19" xfId="175" applyNumberFormat="1" applyFont="1" applyBorder="1" applyProtection="1">
      <protection locked="0"/>
    </xf>
    <xf numFmtId="10" fontId="18" fillId="0" borderId="34" xfId="175" applyNumberFormat="1" applyFont="1" applyBorder="1" applyProtection="1">
      <protection locked="0"/>
    </xf>
    <xf numFmtId="0" fontId="18" fillId="59" borderId="63" xfId="180" applyFill="1" applyBorder="1" applyAlignment="1" applyProtection="1">
      <alignment horizontal="left" vertical="center" wrapText="1"/>
      <protection locked="0"/>
    </xf>
    <xf numFmtId="0" fontId="19" fillId="59" borderId="63" xfId="180" applyFont="1" applyFill="1" applyBorder="1" applyAlignment="1" applyProtection="1">
      <alignment horizontal="left" vertical="center" wrapText="1"/>
      <protection locked="0"/>
    </xf>
    <xf numFmtId="0" fontId="22" fillId="0" borderId="98" xfId="180" applyFont="1" applyBorder="1" applyAlignment="1" applyProtection="1">
      <protection locked="0"/>
    </xf>
    <xf numFmtId="169" fontId="18" fillId="0" borderId="35" xfId="126" applyNumberFormat="1" applyFont="1" applyBorder="1" applyProtection="1">
      <protection locked="0"/>
    </xf>
    <xf numFmtId="10" fontId="18" fillId="0" borderId="35" xfId="180" applyNumberFormat="1" applyBorder="1" applyProtection="1">
      <protection locked="0"/>
    </xf>
    <xf numFmtId="10" fontId="18" fillId="0" borderId="71" xfId="180" applyNumberFormat="1" applyBorder="1" applyProtection="1">
      <protection locked="0"/>
    </xf>
    <xf numFmtId="0" fontId="19" fillId="0" borderId="0" xfId="180" applyFont="1" applyFill="1" applyAlignment="1" applyProtection="1">
      <alignment vertical="top" wrapText="1"/>
      <protection locked="0"/>
    </xf>
    <xf numFmtId="0" fontId="18" fillId="0" borderId="0" xfId="180" applyFill="1" applyAlignment="1" applyProtection="1">
      <alignment horizontal="left" vertical="top" wrapText="1"/>
      <protection locked="0"/>
    </xf>
    <xf numFmtId="0" fontId="22" fillId="0" borderId="0" xfId="180" applyFont="1" applyAlignment="1" applyProtection="1">
      <alignment vertical="top"/>
      <protection locked="0"/>
    </xf>
    <xf numFmtId="0" fontId="22" fillId="0" borderId="0" xfId="180" applyFont="1" applyAlignment="1" applyProtection="1">
      <alignment wrapText="1"/>
      <protection locked="0"/>
    </xf>
    <xf numFmtId="169" fontId="18" fillId="0" borderId="91" xfId="126" applyNumberFormat="1" applyFont="1" applyBorder="1" applyProtection="1">
      <protection locked="0"/>
    </xf>
    <xf numFmtId="169" fontId="18" fillId="0" borderId="92" xfId="126" applyNumberFormat="1" applyFont="1" applyBorder="1" applyProtection="1">
      <protection locked="0"/>
    </xf>
    <xf numFmtId="0" fontId="47" fillId="0" borderId="0" xfId="180" applyFont="1" applyProtection="1">
      <protection locked="0"/>
    </xf>
    <xf numFmtId="0" fontId="47" fillId="0" borderId="0" xfId="180" applyFont="1" applyFill="1" applyProtection="1">
      <protection locked="0"/>
    </xf>
    <xf numFmtId="0" fontId="19" fillId="0" borderId="0" xfId="180" applyFont="1" applyAlignment="1" applyProtection="1">
      <protection locked="0"/>
    </xf>
    <xf numFmtId="0" fontId="22" fillId="0" borderId="33" xfId="180" applyFont="1" applyFill="1" applyBorder="1" applyAlignment="1" applyProtection="1">
      <alignment horizontal="center" wrapText="1"/>
      <protection locked="0"/>
    </xf>
    <xf numFmtId="0" fontId="22" fillId="0" borderId="26" xfId="180" applyFont="1" applyFill="1" applyBorder="1" applyAlignment="1" applyProtection="1">
      <alignment horizontal="center" vertical="center" wrapText="1"/>
      <protection locked="0"/>
    </xf>
    <xf numFmtId="0" fontId="22" fillId="59" borderId="28" xfId="180" applyFont="1" applyFill="1" applyBorder="1" applyAlignment="1" applyProtection="1">
      <alignment horizontal="center" vertical="center"/>
      <protection locked="0"/>
    </xf>
    <xf numFmtId="0" fontId="22" fillId="0" borderId="28" xfId="180" applyFont="1" applyFill="1" applyBorder="1" applyAlignment="1" applyProtection="1">
      <alignment horizontal="center"/>
      <protection locked="0"/>
    </xf>
    <xf numFmtId="0" fontId="22" fillId="0" borderId="19" xfId="180" applyFont="1" applyFill="1" applyBorder="1" applyAlignment="1" applyProtection="1">
      <alignment horizontal="center" vertical="top" wrapText="1"/>
      <protection locked="0"/>
    </xf>
    <xf numFmtId="0" fontId="22" fillId="0" borderId="34" xfId="180" applyFont="1" applyFill="1" applyBorder="1" applyAlignment="1" applyProtection="1">
      <alignment horizontal="center" vertical="top" wrapText="1"/>
      <protection locked="0"/>
    </xf>
    <xf numFmtId="167" fontId="18" fillId="59" borderId="19" xfId="29" applyFont="1" applyFill="1" applyBorder="1" applyProtection="1">
      <protection locked="0"/>
    </xf>
    <xf numFmtId="167" fontId="18" fillId="0" borderId="19" xfId="29" applyFont="1" applyBorder="1" applyProtection="1">
      <protection locked="0"/>
    </xf>
    <xf numFmtId="167" fontId="18" fillId="59" borderId="35" xfId="29" applyFont="1" applyFill="1" applyBorder="1" applyProtection="1">
      <protection locked="0"/>
    </xf>
    <xf numFmtId="0" fontId="18" fillId="60" borderId="71" xfId="180" applyFill="1" applyBorder="1" applyProtection="1">
      <protection locked="0"/>
    </xf>
    <xf numFmtId="0" fontId="22" fillId="0" borderId="0" xfId="180" applyFont="1" applyAlignment="1" applyProtection="1">
      <alignment horizontal="left" vertical="center"/>
      <protection locked="0"/>
    </xf>
    <xf numFmtId="167" fontId="18" fillId="0" borderId="19" xfId="180" applyNumberFormat="1" applyBorder="1" applyProtection="1">
      <protection locked="0"/>
    </xf>
    <xf numFmtId="0" fontId="18" fillId="0" borderId="34" xfId="180" applyBorder="1" applyAlignment="1" applyProtection="1">
      <alignment horizontal="center"/>
      <protection locked="0"/>
    </xf>
    <xf numFmtId="0" fontId="18" fillId="0" borderId="34" xfId="180" applyFill="1" applyBorder="1" applyAlignment="1" applyProtection="1">
      <alignment horizontal="center"/>
      <protection locked="0"/>
    </xf>
    <xf numFmtId="167" fontId="18" fillId="0" borderId="35" xfId="180" applyNumberFormat="1" applyBorder="1" applyProtection="1">
      <protection locked="0"/>
    </xf>
    <xf numFmtId="0" fontId="18" fillId="62" borderId="71" xfId="180" applyFill="1" applyBorder="1" applyAlignment="1" applyProtection="1">
      <alignment horizontal="center"/>
      <protection locked="0"/>
    </xf>
    <xf numFmtId="0" fontId="21" fillId="0" borderId="0" xfId="47" applyFont="1" applyAlignment="1" applyProtection="1">
      <alignment horizontal="right" vertical="top"/>
      <protection locked="0"/>
    </xf>
    <xf numFmtId="0" fontId="22" fillId="0" borderId="33" xfId="180" applyFont="1" applyFill="1" applyBorder="1" applyAlignment="1" applyProtection="1">
      <alignment horizontal="center"/>
      <protection locked="0"/>
    </xf>
    <xf numFmtId="0" fontId="19" fillId="0" borderId="0" xfId="180" applyFont="1" applyAlignment="1" applyProtection="1">
      <alignment vertical="top" wrapText="1"/>
      <protection locked="0"/>
    </xf>
    <xf numFmtId="0" fontId="19" fillId="0" borderId="0" xfId="180" applyFont="1" applyFill="1" applyAlignment="1" applyProtection="1">
      <alignment horizontal="left" vertical="top" wrapText="1"/>
      <protection locked="0"/>
    </xf>
    <xf numFmtId="0" fontId="19" fillId="0" borderId="0" xfId="180" applyFont="1" applyFill="1" applyAlignment="1" applyProtection="1">
      <alignment horizontal="left" vertical="top"/>
      <protection locked="0"/>
    </xf>
    <xf numFmtId="169" fontId="18" fillId="59" borderId="76" xfId="126" applyNumberFormat="1" applyFont="1" applyFill="1" applyBorder="1" applyProtection="1">
      <protection locked="0"/>
    </xf>
    <xf numFmtId="0" fontId="18" fillId="59" borderId="35" xfId="180" applyFill="1" applyBorder="1" applyProtection="1">
      <protection locked="0"/>
    </xf>
    <xf numFmtId="0" fontId="79" fillId="0" borderId="0" xfId="37" applyFont="1" applyAlignment="1" applyProtection="1"/>
    <xf numFmtId="0" fontId="18" fillId="0" borderId="0" xfId="148"/>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Font="1" applyProtection="1">
      <protection locked="0"/>
    </xf>
    <xf numFmtId="0" fontId="22" fillId="0" borderId="0" xfId="47" applyFont="1" applyProtection="1">
      <protection locked="0"/>
    </xf>
    <xf numFmtId="0" fontId="19" fillId="0" borderId="19" xfId="47" applyBorder="1" applyProtection="1">
      <protection locked="0"/>
    </xf>
    <xf numFmtId="0" fontId="22" fillId="0" borderId="0" xfId="47" applyFont="1" applyAlignment="1" applyProtection="1">
      <alignment horizontal="left"/>
      <protection locked="0"/>
    </xf>
    <xf numFmtId="0" fontId="19" fillId="0" borderId="36" xfId="47" applyFont="1" applyBorder="1" applyProtection="1">
      <protection locked="0"/>
    </xf>
    <xf numFmtId="170" fontId="19" fillId="59" borderId="34" xfId="29" applyNumberFormat="1" applyFont="1" applyFill="1" applyBorder="1" applyAlignment="1" applyProtection="1">
      <alignment horizontal="right" vertical="top"/>
      <protection locked="0"/>
    </xf>
    <xf numFmtId="0" fontId="19" fillId="0" borderId="37" xfId="47" applyFont="1" applyBorder="1" applyProtection="1">
      <protection locked="0"/>
    </xf>
    <xf numFmtId="170" fontId="19" fillId="59" borderId="71" xfId="29" applyNumberFormat="1" applyFont="1" applyFill="1" applyBorder="1" applyAlignment="1" applyProtection="1">
      <alignment horizontal="right" vertical="top"/>
      <protection locked="0"/>
    </xf>
    <xf numFmtId="0" fontId="19" fillId="0" borderId="29" xfId="47" applyFont="1" applyBorder="1" applyAlignment="1" applyProtection="1">
      <alignment wrapText="1"/>
      <protection locked="0"/>
    </xf>
    <xf numFmtId="166" fontId="19" fillId="59" borderId="74" xfId="126" applyFont="1" applyFill="1" applyBorder="1" applyAlignment="1" applyProtection="1">
      <alignment horizontal="right" vertical="top"/>
      <protection locked="0"/>
    </xf>
    <xf numFmtId="0" fontId="19" fillId="59" borderId="71" xfId="47" applyFont="1" applyFill="1" applyBorder="1" applyAlignment="1" applyProtection="1">
      <alignment horizontal="right" vertical="top"/>
      <protection locked="0"/>
    </xf>
    <xf numFmtId="0" fontId="19" fillId="0" borderId="41" xfId="47" applyBorder="1" applyAlignment="1" applyProtection="1">
      <alignment horizontal="center"/>
      <protection locked="0"/>
    </xf>
    <xf numFmtId="0" fontId="22" fillId="0" borderId="87" xfId="47" applyFont="1" applyBorder="1" applyAlignment="1" applyProtection="1">
      <alignment horizontal="center"/>
      <protection locked="0"/>
    </xf>
    <xf numFmtId="0" fontId="22" fillId="0" borderId="33" xfId="47" applyFont="1" applyBorder="1" applyAlignment="1" applyProtection="1">
      <alignment horizontal="center"/>
      <protection locked="0"/>
    </xf>
    <xf numFmtId="0" fontId="22" fillId="0" borderId="59" xfId="47" applyFont="1" applyBorder="1" applyAlignment="1" applyProtection="1">
      <alignment horizontal="center"/>
      <protection locked="0"/>
    </xf>
    <xf numFmtId="0" fontId="22" fillId="0" borderId="37" xfId="47" applyFont="1" applyBorder="1" applyProtection="1">
      <protection locked="0"/>
    </xf>
    <xf numFmtId="0" fontId="22" fillId="0" borderId="0" xfId="47" applyFont="1" applyFill="1" applyBorder="1" applyProtection="1">
      <protection locked="0"/>
    </xf>
    <xf numFmtId="0" fontId="19" fillId="0" borderId="29" xfId="47" applyFont="1" applyFill="1" applyBorder="1" applyAlignment="1" applyProtection="1">
      <alignment wrapText="1"/>
      <protection locked="0"/>
    </xf>
    <xf numFmtId="0" fontId="19" fillId="59" borderId="74" xfId="47" applyFont="1" applyFill="1" applyBorder="1" applyAlignment="1" applyProtection="1">
      <alignment horizontal="center" vertical="center"/>
      <protection locked="0"/>
    </xf>
    <xf numFmtId="0" fontId="19" fillId="0" borderId="41" xfId="47" applyFont="1" applyBorder="1" applyProtection="1">
      <protection locked="0"/>
    </xf>
    <xf numFmtId="0" fontId="22" fillId="0" borderId="33" xfId="47" applyFont="1" applyBorder="1" applyAlignment="1" applyProtection="1">
      <alignment horizontal="center" vertical="center" wrapText="1"/>
      <protection locked="0"/>
    </xf>
    <xf numFmtId="0" fontId="22" fillId="0" borderId="87" xfId="47" applyFont="1" applyBorder="1" applyAlignment="1" applyProtection="1">
      <alignment horizontal="center" vertical="center" wrapText="1"/>
      <protection locked="0"/>
    </xf>
    <xf numFmtId="0" fontId="22" fillId="0" borderId="82" xfId="47" applyFont="1" applyBorder="1" applyAlignment="1" applyProtection="1">
      <alignment horizontal="center" wrapText="1"/>
      <protection locked="0"/>
    </xf>
    <xf numFmtId="0" fontId="19" fillId="0" borderId="83" xfId="47" applyBorder="1" applyProtection="1">
      <protection locked="0"/>
    </xf>
    <xf numFmtId="0" fontId="19" fillId="0" borderId="97" xfId="47" applyFont="1" applyBorder="1" applyProtection="1">
      <protection locked="0"/>
    </xf>
    <xf numFmtId="0" fontId="19" fillId="0" borderId="104" xfId="47" applyBorder="1" applyProtection="1">
      <protection locked="0"/>
    </xf>
    <xf numFmtId="0" fontId="19" fillId="0" borderId="98" xfId="47" applyFont="1" applyFill="1" applyBorder="1" applyProtection="1">
      <protection locked="0"/>
    </xf>
    <xf numFmtId="0" fontId="19" fillId="0" borderId="103" xfId="47" applyBorder="1" applyAlignment="1" applyProtection="1">
      <alignment horizontal="center"/>
      <protection locked="0"/>
    </xf>
    <xf numFmtId="0" fontId="22" fillId="0" borderId="33" xfId="47" applyFont="1" applyBorder="1" applyAlignment="1" applyProtection="1">
      <alignment horizontal="center" wrapText="1"/>
      <protection locked="0"/>
    </xf>
    <xf numFmtId="0" fontId="22" fillId="0" borderId="87" xfId="47" applyFont="1" applyBorder="1" applyAlignment="1" applyProtection="1">
      <alignment horizontal="center" wrapText="1"/>
      <protection locked="0"/>
    </xf>
    <xf numFmtId="0" fontId="22" fillId="0" borderId="70" xfId="47" applyFont="1" applyBorder="1" applyAlignment="1" applyProtection="1">
      <alignment horizontal="center" wrapText="1"/>
      <protection locked="0"/>
    </xf>
    <xf numFmtId="166" fontId="19" fillId="0" borderId="19" xfId="47" applyNumberFormat="1" applyBorder="1" applyProtection="1">
      <protection locked="0"/>
    </xf>
    <xf numFmtId="166" fontId="19" fillId="0" borderId="26" xfId="47" applyNumberFormat="1" applyBorder="1" applyProtection="1">
      <protection locked="0"/>
    </xf>
    <xf numFmtId="0" fontId="19" fillId="0" borderId="35" xfId="47" applyBorder="1" applyAlignment="1" applyProtection="1">
      <alignment horizontal="center"/>
      <protection locked="0"/>
    </xf>
    <xf numFmtId="0" fontId="19" fillId="0" borderId="0" xfId="47" applyFont="1" applyFill="1" applyAlignment="1" applyProtection="1">
      <alignment vertical="top" wrapText="1"/>
      <protection locked="0"/>
    </xf>
    <xf numFmtId="0" fontId="19" fillId="0" borderId="0" xfId="47" applyFill="1" applyAlignment="1" applyProtection="1">
      <alignment horizontal="left" vertical="top" wrapText="1"/>
      <protection locked="0"/>
    </xf>
    <xf numFmtId="0" fontId="21" fillId="0" borderId="0" xfId="47" applyFont="1" applyAlignment="1" applyProtection="1">
      <alignment horizontal="right" vertical="top"/>
      <protection locked="0"/>
    </xf>
    <xf numFmtId="39" fontId="19" fillId="59" borderId="34" xfId="47" applyNumberFormat="1" applyFont="1" applyFill="1" applyBorder="1" applyAlignment="1" applyProtection="1">
      <alignment horizontal="right" vertical="top"/>
      <protection locked="0"/>
    </xf>
    <xf numFmtId="0" fontId="19" fillId="0" borderId="0" xfId="47" applyFont="1" applyFill="1" applyAlignment="1" applyProtection="1">
      <alignment horizontal="left" vertical="top" wrapText="1"/>
      <protection locked="0"/>
    </xf>
    <xf numFmtId="0" fontId="22" fillId="0" borderId="70" xfId="47" applyFont="1" applyBorder="1" applyAlignment="1" applyProtection="1">
      <alignment horizontal="center"/>
      <protection locked="0"/>
    </xf>
    <xf numFmtId="0" fontId="63" fillId="0" borderId="0" xfId="191" applyFont="1"/>
    <xf numFmtId="0" fontId="82" fillId="0" borderId="0" xfId="191" applyFont="1"/>
    <xf numFmtId="0" fontId="18" fillId="0" borderId="0" xfId="189"/>
    <xf numFmtId="0" fontId="18" fillId="0" borderId="0" xfId="189" applyProtection="1">
      <protection locked="0"/>
    </xf>
    <xf numFmtId="0" fontId="21" fillId="0" borderId="0" xfId="189" applyFont="1" applyAlignment="1" applyProtection="1">
      <alignment horizontal="right" vertical="top"/>
      <protection locked="0"/>
    </xf>
    <xf numFmtId="0" fontId="21" fillId="59" borderId="102" xfId="189" applyFont="1" applyFill="1" applyBorder="1" applyAlignment="1" applyProtection="1">
      <alignment horizontal="right" vertical="top"/>
      <protection locked="0"/>
    </xf>
    <xf numFmtId="0" fontId="21" fillId="59" borderId="0" xfId="189" applyFont="1" applyFill="1" applyAlignment="1" applyProtection="1">
      <alignment horizontal="right" vertical="top"/>
      <protection locked="0"/>
    </xf>
    <xf numFmtId="0" fontId="19" fillId="0" borderId="0" xfId="189" applyFont="1" applyProtection="1">
      <protection locked="0"/>
    </xf>
    <xf numFmtId="0" fontId="22" fillId="0" borderId="0" xfId="189" applyFont="1" applyAlignment="1" applyProtection="1">
      <alignment horizontal="center"/>
      <protection locked="0"/>
    </xf>
    <xf numFmtId="0" fontId="46" fillId="0" borderId="0" xfId="189" applyFont="1" applyProtection="1">
      <protection locked="0"/>
    </xf>
    <xf numFmtId="0" fontId="19" fillId="0" borderId="0" xfId="189" applyFont="1" applyAlignment="1" applyProtection="1">
      <alignment horizontal="center"/>
      <protection locked="0"/>
    </xf>
    <xf numFmtId="0" fontId="18" fillId="0" borderId="0" xfId="189" applyFill="1" applyProtection="1">
      <protection locked="0"/>
    </xf>
    <xf numFmtId="0" fontId="22" fillId="0" borderId="0" xfId="189" applyFont="1" applyAlignment="1" applyProtection="1">
      <alignment horizontal="left"/>
      <protection locked="0"/>
    </xf>
    <xf numFmtId="0" fontId="18" fillId="0" borderId="19" xfId="189" applyBorder="1" applyAlignment="1" applyProtection="1">
      <alignment vertical="top" wrapText="1"/>
      <protection locked="0"/>
    </xf>
    <xf numFmtId="0" fontId="18" fillId="0" borderId="35" xfId="189" applyBorder="1" applyAlignment="1" applyProtection="1">
      <alignment vertical="top" wrapText="1"/>
      <protection locked="0"/>
    </xf>
    <xf numFmtId="0" fontId="22" fillId="59" borderId="19" xfId="189" applyFont="1" applyFill="1" applyBorder="1" applyAlignment="1" applyProtection="1">
      <alignment horizontal="center" vertical="center"/>
      <protection locked="0"/>
    </xf>
    <xf numFmtId="0" fontId="18" fillId="0" borderId="36" xfId="189" applyFill="1" applyBorder="1" applyProtection="1">
      <protection locked="0"/>
    </xf>
    <xf numFmtId="0" fontId="22" fillId="0" borderId="36" xfId="189" applyFont="1" applyBorder="1" applyAlignment="1" applyProtection="1">
      <alignment vertical="top"/>
      <protection locked="0"/>
    </xf>
    <xf numFmtId="170" fontId="18" fillId="59" borderId="19" xfId="29" applyNumberFormat="1" applyFont="1" applyFill="1" applyBorder="1" applyAlignment="1" applyProtection="1">
      <alignment horizontal="right" vertical="center"/>
      <protection locked="0"/>
    </xf>
    <xf numFmtId="170" fontId="18" fillId="0" borderId="34" xfId="29" applyNumberFormat="1" applyFont="1" applyBorder="1" applyAlignment="1" applyProtection="1">
      <alignment horizontal="right" vertical="center"/>
      <protection locked="0"/>
    </xf>
    <xf numFmtId="170" fontId="18" fillId="0" borderId="19" xfId="29" applyNumberFormat="1" applyFont="1" applyFill="1" applyBorder="1" applyAlignment="1" applyProtection="1">
      <alignment horizontal="right" vertical="center"/>
      <protection locked="0"/>
    </xf>
    <xf numFmtId="170" fontId="18" fillId="0" borderId="34" xfId="29" applyNumberFormat="1" applyFont="1" applyFill="1" applyBorder="1" applyAlignment="1" applyProtection="1">
      <alignment horizontal="right" vertical="center"/>
      <protection locked="0"/>
    </xf>
    <xf numFmtId="176" fontId="18" fillId="0" borderId="19" xfId="189" applyNumberFormat="1" applyFill="1" applyBorder="1" applyAlignment="1" applyProtection="1">
      <alignment horizontal="right" vertical="center"/>
      <protection locked="0"/>
    </xf>
    <xf numFmtId="176" fontId="18" fillId="0" borderId="34" xfId="189" applyNumberFormat="1" applyFill="1" applyBorder="1" applyAlignment="1" applyProtection="1">
      <alignment horizontal="right" vertical="center"/>
      <protection locked="0"/>
    </xf>
    <xf numFmtId="0" fontId="18" fillId="0" borderId="36" xfId="189" applyFill="1" applyBorder="1" applyAlignment="1" applyProtection="1">
      <alignment vertical="top"/>
      <protection locked="0"/>
    </xf>
    <xf numFmtId="176" fontId="18" fillId="59" borderId="19" xfId="189" applyNumberFormat="1" applyFill="1" applyBorder="1" applyAlignment="1" applyProtection="1">
      <alignment horizontal="right" vertical="center"/>
      <protection locked="0"/>
    </xf>
    <xf numFmtId="176" fontId="18" fillId="0" borderId="34" xfId="189" applyNumberFormat="1" applyBorder="1" applyAlignment="1" applyProtection="1">
      <alignment horizontal="right" vertical="center"/>
      <protection locked="0"/>
    </xf>
    <xf numFmtId="0" fontId="18" fillId="0" borderId="37" xfId="189" applyBorder="1" applyAlignment="1" applyProtection="1">
      <alignment vertical="top"/>
      <protection locked="0"/>
    </xf>
    <xf numFmtId="176" fontId="18" fillId="0" borderId="35" xfId="189" applyNumberFormat="1" applyBorder="1" applyAlignment="1" applyProtection="1">
      <alignment horizontal="right" vertical="center"/>
      <protection locked="0"/>
    </xf>
    <xf numFmtId="176" fontId="18" fillId="0" borderId="71" xfId="189" applyNumberFormat="1" applyBorder="1" applyAlignment="1" applyProtection="1">
      <alignment horizontal="right" vertical="center"/>
      <protection locked="0"/>
    </xf>
    <xf numFmtId="0" fontId="18" fillId="66" borderId="73" xfId="189" applyFill="1" applyBorder="1" applyProtection="1">
      <protection locked="0"/>
    </xf>
    <xf numFmtId="0" fontId="18" fillId="66" borderId="31" xfId="189" applyFill="1" applyBorder="1" applyProtection="1">
      <protection locked="0"/>
    </xf>
    <xf numFmtId="0" fontId="57" fillId="66" borderId="94" xfId="189" applyFont="1" applyFill="1" applyBorder="1" applyProtection="1">
      <protection locked="0"/>
    </xf>
    <xf numFmtId="0" fontId="63" fillId="64" borderId="0" xfId="191" applyFont="1" applyFill="1"/>
    <xf numFmtId="0" fontId="18" fillId="0" borderId="0" xfId="184"/>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Font="1" applyProtection="1">
      <protection locked="0"/>
    </xf>
    <xf numFmtId="0" fontId="22" fillId="0" borderId="0" xfId="47" applyFont="1" applyProtection="1">
      <protection locked="0"/>
    </xf>
    <xf numFmtId="0" fontId="19" fillId="0" borderId="20" xfId="47" applyBorder="1" applyProtection="1">
      <protection locked="0"/>
    </xf>
    <xf numFmtId="0" fontId="22" fillId="0" borderId="0" xfId="47" applyFont="1" applyAlignment="1" applyProtection="1">
      <alignment horizontal="center"/>
      <protection locked="0"/>
    </xf>
    <xf numFmtId="169" fontId="19" fillId="59" borderId="34" xfId="126" applyNumberFormat="1" applyFont="1" applyFill="1" applyBorder="1" applyProtection="1">
      <protection locked="0"/>
    </xf>
    <xf numFmtId="169" fontId="19" fillId="59" borderId="34" xfId="126" applyNumberFormat="1" applyFill="1" applyBorder="1" applyProtection="1">
      <protection locked="0"/>
    </xf>
    <xf numFmtId="169" fontId="19" fillId="59" borderId="76" xfId="126" applyNumberFormat="1" applyFill="1" applyBorder="1" applyProtection="1">
      <protection locked="0"/>
    </xf>
    <xf numFmtId="169" fontId="19" fillId="0" borderId="69" xfId="126" applyNumberFormat="1" applyBorder="1" applyProtection="1">
      <protection locked="0"/>
    </xf>
    <xf numFmtId="0" fontId="19" fillId="0" borderId="77" xfId="47" applyBorder="1" applyProtection="1">
      <protection locked="0"/>
    </xf>
    <xf numFmtId="0" fontId="19" fillId="0" borderId="24" xfId="47" applyBorder="1" applyProtection="1">
      <protection locked="0"/>
    </xf>
    <xf numFmtId="0" fontId="19" fillId="0" borderId="43" xfId="47" applyBorder="1" applyProtection="1">
      <protection locked="0"/>
    </xf>
    <xf numFmtId="0" fontId="22" fillId="64" borderId="82" xfId="47" applyFont="1" applyFill="1" applyBorder="1" applyAlignment="1" applyProtection="1">
      <alignment horizontal="center"/>
      <protection locked="0"/>
    </xf>
    <xf numFmtId="0" fontId="22" fillId="64" borderId="75" xfId="47" applyFont="1" applyFill="1" applyBorder="1" applyAlignment="1" applyProtection="1">
      <alignment horizontal="center"/>
      <protection locked="0"/>
    </xf>
    <xf numFmtId="0" fontId="22" fillId="64" borderId="72" xfId="47" applyFont="1" applyFill="1" applyBorder="1" applyAlignment="1" applyProtection="1">
      <alignment horizontal="center"/>
      <protection locked="0"/>
    </xf>
    <xf numFmtId="169" fontId="19" fillId="0" borderId="34" xfId="126" applyNumberFormat="1" applyFill="1" applyBorder="1" applyProtection="1">
      <protection locked="0"/>
    </xf>
    <xf numFmtId="169" fontId="19" fillId="59" borderId="126" xfId="126" applyNumberFormat="1" applyFill="1" applyBorder="1" applyProtection="1">
      <protection locked="0"/>
    </xf>
    <xf numFmtId="169" fontId="19" fillId="59" borderId="71" xfId="126" applyNumberFormat="1" applyFill="1" applyBorder="1" applyProtection="1">
      <protection locked="0"/>
    </xf>
    <xf numFmtId="0" fontId="19" fillId="0" borderId="0" xfId="47" applyFont="1" applyAlignment="1" applyProtection="1">
      <alignment vertical="top" wrapText="1"/>
      <protection locked="0"/>
    </xf>
    <xf numFmtId="0" fontId="19" fillId="0" borderId="0" xfId="47" applyFont="1" applyAlignment="1" applyProtection="1">
      <alignment wrapText="1"/>
      <protection locked="0"/>
    </xf>
    <xf numFmtId="0" fontId="21" fillId="0" borderId="0" xfId="47" applyFont="1" applyAlignment="1" applyProtection="1">
      <alignment horizontal="right" vertical="top"/>
      <protection locked="0"/>
    </xf>
    <xf numFmtId="0" fontId="19" fillId="0" borderId="0" xfId="47" applyAlignment="1" applyProtection="1">
      <protection locked="0"/>
    </xf>
    <xf numFmtId="0" fontId="19" fillId="0" borderId="0" xfId="47" applyFont="1" applyAlignment="1" applyProtection="1">
      <alignment horizontal="center" vertical="top"/>
      <protection locked="0"/>
    </xf>
    <xf numFmtId="0" fontId="19" fillId="0" borderId="0" xfId="47" applyAlignment="1" applyProtection="1">
      <alignment wrapText="1"/>
      <protection locked="0"/>
    </xf>
    <xf numFmtId="0" fontId="22" fillId="64" borderId="99" xfId="47" applyFont="1" applyFill="1" applyBorder="1" applyAlignment="1" applyProtection="1">
      <alignment horizontal="center" wrapText="1"/>
      <protection locked="0"/>
    </xf>
    <xf numFmtId="0" fontId="18" fillId="66" borderId="73" xfId="184" applyFill="1" applyBorder="1" applyProtection="1">
      <protection locked="0"/>
    </xf>
    <xf numFmtId="0" fontId="18" fillId="66" borderId="31" xfId="184" applyFill="1" applyBorder="1" applyProtection="1">
      <protection locked="0"/>
    </xf>
    <xf numFmtId="0" fontId="57" fillId="66" borderId="94" xfId="184" applyFont="1" applyFill="1" applyBorder="1" applyProtection="1">
      <protection locked="0"/>
    </xf>
    <xf numFmtId="0" fontId="73" fillId="0" borderId="0" xfId="191" applyFont="1" applyAlignment="1">
      <alignment horizontal="right" vertical="center"/>
    </xf>
    <xf numFmtId="0" fontId="73" fillId="0" borderId="0" xfId="191" applyFont="1" applyAlignment="1">
      <alignment vertical="top"/>
    </xf>
    <xf numFmtId="0" fontId="82" fillId="0" borderId="0" xfId="0" applyFont="1"/>
    <xf numFmtId="0" fontId="84" fillId="0" borderId="0" xfId="0" applyFont="1"/>
    <xf numFmtId="0" fontId="82" fillId="0" borderId="0" xfId="191" applyFont="1" applyAlignment="1">
      <alignment vertical="center"/>
    </xf>
    <xf numFmtId="0" fontId="18" fillId="0" borderId="0" xfId="194"/>
    <xf numFmtId="0" fontId="22" fillId="0" borderId="0" xfId="194" applyFont="1" applyProtection="1">
      <protection locked="0"/>
    </xf>
    <xf numFmtId="0" fontId="21" fillId="0" borderId="0" xfId="194" applyFont="1" applyAlignment="1" applyProtection="1">
      <alignment horizontal="right" vertical="top"/>
      <protection locked="0"/>
    </xf>
    <xf numFmtId="0" fontId="21" fillId="59" borderId="102" xfId="194" applyFont="1" applyFill="1" applyBorder="1" applyAlignment="1" applyProtection="1">
      <alignment horizontal="right" vertical="top"/>
      <protection locked="0"/>
    </xf>
    <xf numFmtId="0" fontId="21" fillId="59" borderId="0" xfId="194" applyFont="1" applyFill="1" applyAlignment="1" applyProtection="1">
      <alignment horizontal="right" vertical="top"/>
      <protection locked="0"/>
    </xf>
    <xf numFmtId="0" fontId="22" fillId="0" borderId="0" xfId="194" applyFont="1" applyFill="1" applyProtection="1">
      <protection locked="0"/>
    </xf>
    <xf numFmtId="0" fontId="22" fillId="0" borderId="50" xfId="194" applyFont="1" applyBorder="1" applyProtection="1">
      <protection locked="0"/>
    </xf>
    <xf numFmtId="0" fontId="22" fillId="0" borderId="78" xfId="194" applyFont="1" applyFill="1" applyBorder="1" applyAlignment="1" applyProtection="1">
      <alignment horizontal="center" vertical="center"/>
      <protection locked="0"/>
    </xf>
    <xf numFmtId="0" fontId="22" fillId="56" borderId="51" xfId="194" applyFont="1" applyFill="1" applyBorder="1" applyProtection="1">
      <protection locked="0"/>
    </xf>
    <xf numFmtId="0" fontId="22" fillId="0" borderId="54" xfId="194" applyFont="1" applyFill="1" applyBorder="1" applyAlignment="1" applyProtection="1">
      <alignment horizontal="center" vertical="center"/>
      <protection locked="0"/>
    </xf>
    <xf numFmtId="0" fontId="22" fillId="0" borderId="50" xfId="194" applyFont="1" applyFill="1" applyBorder="1" applyAlignment="1" applyProtection="1">
      <alignment horizontal="center" vertical="center"/>
      <protection locked="0"/>
    </xf>
    <xf numFmtId="0" fontId="22" fillId="56" borderId="49" xfId="194" applyFont="1" applyFill="1" applyBorder="1" applyProtection="1">
      <protection locked="0"/>
    </xf>
    <xf numFmtId="0" fontId="18" fillId="0" borderId="49" xfId="194" applyBorder="1" applyProtection="1">
      <protection locked="0"/>
    </xf>
    <xf numFmtId="0" fontId="18" fillId="0" borderId="38" xfId="194" applyBorder="1" applyProtection="1">
      <protection locked="0"/>
    </xf>
    <xf numFmtId="0" fontId="18" fillId="0" borderId="51" xfId="194" applyBorder="1" applyAlignment="1" applyProtection="1">
      <alignment horizontal="center"/>
      <protection locked="0"/>
    </xf>
    <xf numFmtId="0" fontId="18" fillId="0" borderId="51" xfId="194" applyBorder="1" applyProtection="1">
      <protection locked="0"/>
    </xf>
    <xf numFmtId="0" fontId="18" fillId="56" borderId="49" xfId="194" applyFill="1" applyBorder="1" applyProtection="1">
      <protection locked="0"/>
    </xf>
    <xf numFmtId="0" fontId="18" fillId="59" borderId="49" xfId="194" applyFill="1" applyBorder="1" applyProtection="1">
      <protection locked="0"/>
    </xf>
    <xf numFmtId="0" fontId="18" fillId="58" borderId="49" xfId="194" applyFill="1" applyBorder="1" applyAlignment="1" applyProtection="1">
      <alignment vertical="center"/>
      <protection locked="0"/>
    </xf>
    <xf numFmtId="0" fontId="18" fillId="0" borderId="50" xfId="194" applyBorder="1" applyProtection="1">
      <protection locked="0"/>
    </xf>
    <xf numFmtId="0" fontId="22" fillId="0" borderId="0" xfId="194" applyFont="1" applyAlignment="1" applyProtection="1">
      <alignment horizontal="left" vertical="center" wrapText="1"/>
      <protection locked="0"/>
    </xf>
    <xf numFmtId="0" fontId="21" fillId="0" borderId="0" xfId="47" applyFont="1" applyAlignment="1" applyProtection="1">
      <alignment horizontal="right" vertical="top"/>
      <protection locked="0"/>
    </xf>
    <xf numFmtId="0" fontId="18" fillId="0" borderId="0" xfId="194" applyAlignment="1" applyProtection="1">
      <alignment horizontal="left" vertical="center" wrapText="1"/>
      <protection locked="0"/>
    </xf>
    <xf numFmtId="0" fontId="22" fillId="0" borderId="50" xfId="194" applyFont="1" applyFill="1" applyBorder="1" applyAlignment="1" applyProtection="1">
      <alignment horizontal="center" vertical="center" wrapText="1"/>
      <protection locked="0"/>
    </xf>
    <xf numFmtId="0" fontId="22" fillId="0" borderId="40" xfId="194" applyFont="1" applyFill="1" applyBorder="1" applyAlignment="1" applyProtection="1">
      <alignment horizontal="center" vertical="center"/>
      <protection locked="0"/>
    </xf>
    <xf numFmtId="0" fontId="63" fillId="0" borderId="0" xfId="37" applyFont="1" applyAlignment="1" applyProtection="1"/>
    <xf numFmtId="0" fontId="63" fillId="0" borderId="0" xfId="191" applyFont="1" applyFill="1" applyBorder="1" applyAlignment="1">
      <alignment wrapText="1"/>
    </xf>
    <xf numFmtId="0" fontId="73" fillId="0" borderId="0" xfId="191" applyFont="1"/>
    <xf numFmtId="0" fontId="63" fillId="0" borderId="0" xfId="191" applyFont="1" applyFill="1" applyBorder="1"/>
    <xf numFmtId="0" fontId="79" fillId="0" borderId="0" xfId="37" applyFont="1" applyFill="1" applyBorder="1" applyAlignment="1" applyProtection="1"/>
    <xf numFmtId="0" fontId="81" fillId="0" borderId="0" xfId="191" applyFont="1"/>
    <xf numFmtId="0" fontId="80" fillId="0" borderId="0" xfId="191" applyFont="1"/>
    <xf numFmtId="0" fontId="79" fillId="0" borderId="0" xfId="37" applyFont="1" applyAlignment="1" applyProtection="1">
      <alignment horizontal="left" vertical="top"/>
    </xf>
    <xf numFmtId="0" fontId="79" fillId="64" borderId="0" xfId="37" applyFont="1" applyFill="1" applyAlignment="1" applyProtection="1">
      <alignment horizontal="left" vertical="top"/>
    </xf>
    <xf numFmtId="0" fontId="19" fillId="0" borderId="0" xfId="183"/>
    <xf numFmtId="0" fontId="21" fillId="59" borderId="102" xfId="47" applyFont="1" applyFill="1" applyBorder="1" applyAlignment="1" applyProtection="1">
      <alignment horizontal="right" vertical="top"/>
      <protection locked="0"/>
    </xf>
    <xf numFmtId="0" fontId="21" fillId="59" borderId="0" xfId="47" applyFont="1" applyFill="1" applyAlignment="1" applyProtection="1">
      <alignment horizontal="right" vertical="top"/>
      <protection locked="0"/>
    </xf>
    <xf numFmtId="0" fontId="19" fillId="0" borderId="0" xfId="47" applyProtection="1">
      <protection locked="0"/>
    </xf>
    <xf numFmtId="0" fontId="19" fillId="0" borderId="0" xfId="47" applyAlignment="1" applyProtection="1">
      <alignment horizontal="left"/>
      <protection locked="0"/>
    </xf>
    <xf numFmtId="0" fontId="22" fillId="0" borderId="0" xfId="47" applyFont="1" applyAlignment="1" applyProtection="1">
      <alignment horizontal="left"/>
      <protection locked="0"/>
    </xf>
    <xf numFmtId="0" fontId="1" fillId="0" borderId="0" xfId="123" applyProtection="1">
      <protection locked="0"/>
    </xf>
    <xf numFmtId="0" fontId="21" fillId="0" borderId="102" xfId="47" applyFont="1" applyFill="1" applyBorder="1" applyAlignment="1" applyProtection="1">
      <alignment horizontal="right" vertical="top"/>
      <protection locked="0"/>
    </xf>
    <xf numFmtId="0" fontId="21" fillId="0" borderId="0" xfId="47" applyFont="1" applyFill="1" applyAlignment="1" applyProtection="1">
      <alignment horizontal="right" vertical="top"/>
      <protection locked="0"/>
    </xf>
    <xf numFmtId="49" fontId="63" fillId="0" borderId="0" xfId="124" applyNumberFormat="1" applyFont="1" applyBorder="1" applyAlignment="1" applyProtection="1">
      <alignment vertical="top" wrapText="1"/>
      <protection locked="0"/>
    </xf>
    <xf numFmtId="49" fontId="62" fillId="0" borderId="0" xfId="124" applyNumberFormat="1" applyFont="1" applyBorder="1" applyAlignment="1" applyProtection="1">
      <alignment vertical="top" wrapText="1"/>
      <protection locked="0"/>
    </xf>
    <xf numFmtId="0" fontId="16" fillId="63" borderId="57" xfId="123" applyFont="1" applyFill="1" applyBorder="1" applyAlignment="1" applyProtection="1">
      <alignment horizontal="right"/>
      <protection locked="0"/>
    </xf>
    <xf numFmtId="0" fontId="16" fillId="63" borderId="0" xfId="123" applyFont="1" applyFill="1" applyBorder="1" applyAlignment="1" applyProtection="1">
      <alignment horizontal="right"/>
      <protection locked="0"/>
    </xf>
    <xf numFmtId="0" fontId="16" fillId="63" borderId="38" xfId="123" applyFont="1" applyFill="1" applyBorder="1" applyAlignment="1" applyProtection="1">
      <alignment horizontal="right"/>
      <protection locked="0"/>
    </xf>
    <xf numFmtId="0" fontId="16" fillId="0" borderId="57" xfId="123" applyFont="1" applyBorder="1" applyProtection="1">
      <protection locked="0"/>
    </xf>
    <xf numFmtId="0" fontId="16" fillId="0" borderId="134" xfId="123" applyFont="1" applyBorder="1" applyProtection="1">
      <protection locked="0"/>
    </xf>
    <xf numFmtId="10" fontId="63" fillId="0" borderId="0" xfId="125" applyNumberFormat="1" applyFont="1" applyBorder="1" applyProtection="1">
      <protection locked="0"/>
    </xf>
    <xf numFmtId="10" fontId="63" fillId="0" borderId="108" xfId="125" applyNumberFormat="1" applyFont="1" applyBorder="1" applyProtection="1">
      <protection locked="0"/>
    </xf>
    <xf numFmtId="10" fontId="63" fillId="0" borderId="38" xfId="125" applyNumberFormat="1" applyFont="1" applyBorder="1" applyProtection="1">
      <protection locked="0"/>
    </xf>
    <xf numFmtId="0" fontId="1" fillId="0" borderId="57" xfId="123" applyBorder="1" applyProtection="1">
      <protection locked="0"/>
    </xf>
    <xf numFmtId="0" fontId="1" fillId="0" borderId="134" xfId="123" applyBorder="1" applyProtection="1">
      <protection locked="0"/>
    </xf>
    <xf numFmtId="9" fontId="19" fillId="65" borderId="0" xfId="125" applyFont="1" applyFill="1" applyProtection="1">
      <protection locked="0"/>
    </xf>
    <xf numFmtId="9" fontId="1" fillId="65" borderId="0" xfId="123" applyNumberFormat="1" applyFill="1" applyProtection="1">
      <protection locked="0"/>
    </xf>
    <xf numFmtId="9" fontId="1" fillId="0" borderId="0" xfId="123" applyNumberFormat="1" applyProtection="1">
      <protection locked="0"/>
    </xf>
    <xf numFmtId="10" fontId="63" fillId="0" borderId="109" xfId="125" applyNumberFormat="1" applyFont="1" applyBorder="1" applyProtection="1">
      <protection locked="0"/>
    </xf>
    <xf numFmtId="10" fontId="63" fillId="0" borderId="65" xfId="125" applyNumberFormat="1" applyFont="1" applyBorder="1" applyProtection="1">
      <protection locked="0"/>
    </xf>
    <xf numFmtId="10" fontId="16" fillId="0" borderId="0" xfId="123" applyNumberFormat="1" applyFont="1" applyBorder="1" applyProtection="1">
      <protection locked="0"/>
    </xf>
    <xf numFmtId="10" fontId="16" fillId="0" borderId="108" xfId="123" applyNumberFormat="1" applyFont="1" applyBorder="1" applyProtection="1">
      <protection locked="0"/>
    </xf>
    <xf numFmtId="10" fontId="16" fillId="0" borderId="38" xfId="123" applyNumberFormat="1" applyFont="1" applyBorder="1" applyProtection="1">
      <protection locked="0"/>
    </xf>
    <xf numFmtId="167" fontId="63" fillId="59" borderId="0" xfId="124" applyNumberFormat="1" applyFont="1" applyFill="1" applyBorder="1" applyProtection="1">
      <protection locked="0"/>
    </xf>
    <xf numFmtId="167" fontId="63" fillId="0" borderId="38" xfId="124" applyNumberFormat="1" applyFont="1" applyBorder="1" applyProtection="1">
      <protection locked="0"/>
    </xf>
    <xf numFmtId="167" fontId="63" fillId="0" borderId="0" xfId="124" applyNumberFormat="1" applyFont="1" applyBorder="1" applyProtection="1">
      <protection locked="0"/>
    </xf>
    <xf numFmtId="167" fontId="63" fillId="59" borderId="113" xfId="124" applyNumberFormat="1" applyFont="1" applyFill="1" applyBorder="1" applyProtection="1">
      <protection locked="0"/>
    </xf>
    <xf numFmtId="167" fontId="63" fillId="0" borderId="107" xfId="124" applyNumberFormat="1" applyFont="1" applyBorder="1" applyProtection="1">
      <protection locked="0"/>
    </xf>
    <xf numFmtId="167" fontId="63" fillId="59" borderId="109" xfId="124" applyNumberFormat="1" applyFont="1" applyFill="1" applyBorder="1" applyProtection="1">
      <protection locked="0"/>
    </xf>
    <xf numFmtId="167" fontId="63" fillId="0" borderId="65" xfId="124" applyNumberFormat="1" applyFont="1" applyBorder="1" applyProtection="1">
      <protection locked="0"/>
    </xf>
    <xf numFmtId="0" fontId="16" fillId="0" borderId="54" xfId="123" applyFont="1" applyBorder="1" applyProtection="1">
      <protection locked="0"/>
    </xf>
    <xf numFmtId="167" fontId="16" fillId="0" borderId="39" xfId="124" applyNumberFormat="1" applyFont="1" applyBorder="1" applyProtection="1">
      <protection locked="0"/>
    </xf>
    <xf numFmtId="167" fontId="16" fillId="0" borderId="110" xfId="124" applyNumberFormat="1" applyFont="1" applyBorder="1" applyProtection="1">
      <protection locked="0"/>
    </xf>
    <xf numFmtId="167" fontId="16" fillId="0" borderId="40" xfId="124" applyNumberFormat="1" applyFont="1" applyBorder="1" applyProtection="1">
      <protection locked="0"/>
    </xf>
    <xf numFmtId="0" fontId="1" fillId="0" borderId="54" xfId="123" applyBorder="1" applyProtection="1">
      <protection locked="0"/>
    </xf>
    <xf numFmtId="0" fontId="1" fillId="0" borderId="135" xfId="123" applyBorder="1" applyProtection="1">
      <protection locked="0"/>
    </xf>
    <xf numFmtId="0" fontId="16" fillId="0" borderId="0" xfId="123" applyFont="1" applyBorder="1" applyProtection="1">
      <protection locked="0"/>
    </xf>
    <xf numFmtId="167" fontId="16" fillId="0" borderId="0" xfId="124" applyNumberFormat="1" applyFont="1" applyBorder="1" applyProtection="1">
      <protection locked="0"/>
    </xf>
    <xf numFmtId="0" fontId="16" fillId="68" borderId="57" xfId="123" applyFont="1" applyFill="1" applyBorder="1" applyAlignment="1" applyProtection="1">
      <alignment horizontal="right"/>
      <protection locked="0"/>
    </xf>
    <xf numFmtId="0" fontId="16" fillId="68" borderId="0" xfId="123" applyFont="1" applyFill="1" applyBorder="1" applyAlignment="1" applyProtection="1">
      <alignment horizontal="right"/>
      <protection locked="0"/>
    </xf>
    <xf numFmtId="0" fontId="16" fillId="68" borderId="38" xfId="123" applyFont="1" applyFill="1" applyBorder="1" applyAlignment="1" applyProtection="1">
      <alignment horizontal="right"/>
      <protection locked="0"/>
    </xf>
    <xf numFmtId="10" fontId="63" fillId="67" borderId="0" xfId="125" applyNumberFormat="1" applyFont="1" applyFill="1" applyBorder="1" applyProtection="1">
      <protection locked="0"/>
    </xf>
    <xf numFmtId="10" fontId="63" fillId="67" borderId="108" xfId="125" applyNumberFormat="1" applyFont="1" applyFill="1" applyBorder="1" applyProtection="1">
      <protection locked="0"/>
    </xf>
    <xf numFmtId="0" fontId="16" fillId="0" borderId="127" xfId="123" applyFont="1" applyBorder="1" applyProtection="1">
      <protection locked="0"/>
    </xf>
    <xf numFmtId="10" fontId="16" fillId="0" borderId="128" xfId="123" applyNumberFormat="1" applyFont="1" applyBorder="1" applyProtection="1">
      <protection locked="0"/>
    </xf>
    <xf numFmtId="10" fontId="16" fillId="0" borderId="129" xfId="123" applyNumberFormat="1" applyFont="1" applyBorder="1" applyProtection="1">
      <protection locked="0"/>
    </xf>
    <xf numFmtId="10" fontId="16" fillId="0" borderId="130" xfId="123" applyNumberFormat="1" applyFont="1" applyBorder="1" applyProtection="1">
      <protection locked="0"/>
    </xf>
    <xf numFmtId="167" fontId="63" fillId="67" borderId="0" xfId="124" applyNumberFormat="1" applyFont="1" applyFill="1" applyBorder="1" applyProtection="1">
      <protection locked="0"/>
    </xf>
    <xf numFmtId="167" fontId="63" fillId="67" borderId="108" xfId="124" applyNumberFormat="1" applyFont="1" applyFill="1" applyBorder="1" applyProtection="1">
      <protection locked="0"/>
    </xf>
    <xf numFmtId="167" fontId="63" fillId="67" borderId="113" xfId="124" applyNumberFormat="1" applyFont="1" applyFill="1" applyBorder="1" applyProtection="1">
      <protection locked="0"/>
    </xf>
    <xf numFmtId="167" fontId="63" fillId="67" borderId="112" xfId="124" applyNumberFormat="1" applyFont="1" applyFill="1" applyBorder="1" applyProtection="1">
      <protection locked="0"/>
    </xf>
    <xf numFmtId="167" fontId="63" fillId="0" borderId="0" xfId="124" applyNumberFormat="1" applyFont="1" applyFill="1" applyBorder="1" applyProtection="1">
      <protection locked="0"/>
    </xf>
    <xf numFmtId="0" fontId="16" fillId="63" borderId="57" xfId="123" applyFont="1" applyFill="1" applyBorder="1" applyAlignment="1" applyProtection="1">
      <alignment horizontal="center"/>
      <protection locked="0"/>
    </xf>
    <xf numFmtId="0" fontId="16" fillId="63" borderId="0" xfId="123" applyFont="1" applyFill="1" applyBorder="1" applyAlignment="1" applyProtection="1">
      <alignment horizontal="center"/>
      <protection locked="0"/>
    </xf>
    <xf numFmtId="0" fontId="16" fillId="63" borderId="38" xfId="123" applyFont="1" applyFill="1" applyBorder="1" applyAlignment="1" applyProtection="1">
      <alignment horizontal="center"/>
      <protection locked="0"/>
    </xf>
    <xf numFmtId="0" fontId="16" fillId="58" borderId="38" xfId="123" applyFont="1" applyFill="1" applyBorder="1" applyAlignment="1" applyProtection="1">
      <alignment horizontal="center"/>
      <protection locked="0"/>
    </xf>
    <xf numFmtId="0" fontId="16" fillId="63" borderId="62" xfId="123" applyFont="1" applyFill="1" applyBorder="1" applyAlignment="1" applyProtection="1">
      <alignment horizontal="center"/>
      <protection locked="0"/>
    </xf>
    <xf numFmtId="0" fontId="16" fillId="63" borderId="21" xfId="123" applyFont="1" applyFill="1" applyBorder="1" applyAlignment="1" applyProtection="1">
      <alignment horizontal="center"/>
      <protection locked="0"/>
    </xf>
    <xf numFmtId="0" fontId="16" fillId="63" borderId="64" xfId="123" applyFont="1" applyFill="1" applyBorder="1" applyAlignment="1" applyProtection="1">
      <alignment horizontal="center"/>
      <protection locked="0"/>
    </xf>
    <xf numFmtId="0" fontId="16" fillId="63" borderId="21" xfId="123" applyFont="1" applyFill="1" applyBorder="1" applyAlignment="1" applyProtection="1">
      <alignment horizontal="center" vertical="center"/>
      <protection locked="0"/>
    </xf>
    <xf numFmtId="0" fontId="16" fillId="63" borderId="64" xfId="123" applyFont="1" applyFill="1" applyBorder="1" applyAlignment="1" applyProtection="1">
      <alignment horizontal="center" vertical="center" wrapText="1"/>
      <protection locked="0"/>
    </xf>
    <xf numFmtId="0" fontId="16" fillId="59" borderId="0" xfId="123" applyFont="1" applyFill="1" applyBorder="1" applyAlignment="1" applyProtection="1">
      <alignment vertical="top"/>
      <protection locked="0"/>
    </xf>
    <xf numFmtId="0" fontId="16" fillId="0" borderId="0" xfId="123" applyFont="1" applyFill="1" applyBorder="1" applyAlignment="1" applyProtection="1">
      <alignment vertical="top"/>
      <protection locked="0"/>
    </xf>
    <xf numFmtId="0" fontId="16" fillId="0" borderId="38" xfId="123" applyFont="1" applyFill="1" applyBorder="1" applyAlignment="1" applyProtection="1">
      <alignment horizontal="center" vertical="top" wrapText="1"/>
      <protection locked="0"/>
    </xf>
    <xf numFmtId="0" fontId="16" fillId="59" borderId="111" xfId="123" applyFont="1" applyFill="1" applyBorder="1" applyAlignment="1" applyProtection="1">
      <alignment vertical="top"/>
      <protection locked="0"/>
    </xf>
    <xf numFmtId="0" fontId="16" fillId="59" borderId="107" xfId="123" applyFont="1" applyFill="1" applyBorder="1" applyAlignment="1" applyProtection="1">
      <alignment vertical="top"/>
      <protection locked="0"/>
    </xf>
    <xf numFmtId="10" fontId="62" fillId="0" borderId="40" xfId="125" applyNumberFormat="1" applyFont="1" applyBorder="1" applyProtection="1">
      <protection locked="0"/>
    </xf>
    <xf numFmtId="0" fontId="16" fillId="0" borderId="0" xfId="123" applyFont="1" applyBorder="1" applyAlignment="1" applyProtection="1">
      <alignment vertical="top" wrapText="1"/>
      <protection locked="0"/>
    </xf>
    <xf numFmtId="10" fontId="62" fillId="0" borderId="0" xfId="125" applyNumberFormat="1" applyFont="1" applyBorder="1" applyProtection="1">
      <protection locked="0"/>
    </xf>
    <xf numFmtId="0" fontId="16" fillId="0" borderId="0" xfId="123" applyFont="1" applyFill="1" applyBorder="1" applyAlignment="1" applyProtection="1">
      <alignment vertical="top" wrapText="1"/>
      <protection locked="0"/>
    </xf>
    <xf numFmtId="0" fontId="1" fillId="0" borderId="0" xfId="123" applyBorder="1" applyProtection="1">
      <protection locked="0"/>
    </xf>
    <xf numFmtId="0" fontId="16" fillId="0" borderId="78" xfId="123" applyFont="1" applyBorder="1" applyAlignment="1" applyProtection="1">
      <alignment vertical="top" wrapText="1"/>
      <protection locked="0"/>
    </xf>
    <xf numFmtId="0" fontId="16" fillId="0" borderId="79" xfId="123" applyFont="1" applyFill="1" applyBorder="1" applyAlignment="1" applyProtection="1">
      <alignment horizontal="center" vertical="center" wrapText="1"/>
      <protection locked="0"/>
    </xf>
    <xf numFmtId="0" fontId="73" fillId="0" borderId="79" xfId="29" applyNumberFormat="1" applyFont="1" applyBorder="1" applyAlignment="1" applyProtection="1">
      <alignment horizontal="center" vertical="center"/>
      <protection locked="0"/>
    </xf>
    <xf numFmtId="0" fontId="16" fillId="0" borderId="57" xfId="123" applyFont="1" applyBorder="1" applyAlignment="1" applyProtection="1">
      <alignment horizontal="left" vertical="center" wrapText="1"/>
      <protection locked="0"/>
    </xf>
    <xf numFmtId="0" fontId="16" fillId="58" borderId="19" xfId="123" applyFont="1" applyFill="1" applyBorder="1" applyAlignment="1" applyProtection="1">
      <alignment horizontal="center" vertical="center" wrapText="1"/>
      <protection locked="0"/>
    </xf>
    <xf numFmtId="0" fontId="60" fillId="0" borderId="54" xfId="123" applyFont="1" applyBorder="1" applyAlignment="1" applyProtection="1">
      <alignment horizontal="left" vertical="top" wrapText="1"/>
      <protection locked="0"/>
    </xf>
    <xf numFmtId="0" fontId="61" fillId="0" borderId="39" xfId="123" applyFont="1" applyBorder="1" applyAlignment="1" applyProtection="1">
      <alignment vertical="top" wrapText="1"/>
      <protection locked="0"/>
    </xf>
    <xf numFmtId="0" fontId="61" fillId="64" borderId="39" xfId="123" applyFont="1" applyFill="1" applyBorder="1" applyAlignment="1" applyProtection="1">
      <alignment vertical="top" wrapText="1"/>
      <protection locked="0"/>
    </xf>
    <xf numFmtId="0" fontId="60" fillId="0" borderId="0" xfId="123" applyFont="1" applyBorder="1" applyAlignment="1" applyProtection="1">
      <alignment horizontal="left" vertical="top" wrapText="1"/>
      <protection locked="0"/>
    </xf>
    <xf numFmtId="0" fontId="61" fillId="0" borderId="0" xfId="123" applyFont="1" applyBorder="1" applyAlignment="1" applyProtection="1">
      <alignment vertical="top" wrapText="1"/>
      <protection locked="0"/>
    </xf>
    <xf numFmtId="0" fontId="16" fillId="63" borderId="53" xfId="123" applyFont="1" applyFill="1" applyBorder="1" applyAlignment="1" applyProtection="1">
      <alignment horizontal="center" vertical="center"/>
      <protection locked="0"/>
    </xf>
    <xf numFmtId="0" fontId="16" fillId="63" borderId="85" xfId="123" applyFont="1" applyFill="1" applyBorder="1" applyAlignment="1" applyProtection="1">
      <alignment vertical="top"/>
      <protection locked="0"/>
    </xf>
    <xf numFmtId="0" fontId="16" fillId="63" borderId="21" xfId="123" applyFont="1" applyFill="1" applyBorder="1" applyAlignment="1" applyProtection="1">
      <alignment vertical="top"/>
      <protection locked="0"/>
    </xf>
    <xf numFmtId="0" fontId="16" fillId="63" borderId="64" xfId="123" applyFont="1" applyFill="1" applyBorder="1" applyAlignment="1" applyProtection="1">
      <alignment vertical="top"/>
      <protection locked="0"/>
    </xf>
    <xf numFmtId="167" fontId="62" fillId="0" borderId="133" xfId="124" applyNumberFormat="1" applyFont="1" applyBorder="1" applyAlignment="1" applyProtection="1">
      <alignment horizontal="center" vertical="center"/>
      <protection locked="0"/>
    </xf>
    <xf numFmtId="167" fontId="62" fillId="0" borderId="128" xfId="124" applyNumberFormat="1" applyFont="1" applyBorder="1" applyAlignment="1" applyProtection="1">
      <alignment horizontal="center" vertical="center"/>
      <protection locked="0"/>
    </xf>
    <xf numFmtId="167" fontId="62" fillId="68" borderId="22" xfId="124" applyNumberFormat="1" applyFont="1" applyFill="1" applyBorder="1" applyAlignment="1" applyProtection="1">
      <alignment horizontal="center" vertical="center"/>
      <protection locked="0"/>
    </xf>
    <xf numFmtId="167" fontId="62" fillId="68" borderId="21" xfId="124" applyNumberFormat="1" applyFont="1" applyFill="1" applyBorder="1" applyAlignment="1" applyProtection="1">
      <alignment horizontal="center" vertical="center"/>
      <protection locked="0"/>
    </xf>
    <xf numFmtId="167" fontId="62" fillId="68" borderId="60" xfId="124" applyNumberFormat="1" applyFont="1" applyFill="1" applyBorder="1" applyAlignment="1" applyProtection="1">
      <alignment horizontal="center" vertical="center"/>
      <protection locked="0"/>
    </xf>
    <xf numFmtId="10" fontId="62" fillId="59" borderId="0" xfId="125" applyNumberFormat="1" applyFont="1" applyFill="1" applyBorder="1" applyAlignment="1" applyProtection="1">
      <alignment horizontal="center" vertical="center"/>
      <protection locked="0"/>
    </xf>
    <xf numFmtId="167" fontId="62" fillId="0" borderId="0" xfId="124" applyNumberFormat="1" applyFont="1" applyBorder="1" applyAlignment="1" applyProtection="1">
      <alignment horizontal="center" vertical="center"/>
      <protection locked="0"/>
    </xf>
    <xf numFmtId="167" fontId="14" fillId="0" borderId="0" xfId="124" applyNumberFormat="1" applyFont="1" applyBorder="1" applyAlignment="1" applyProtection="1">
      <alignment horizontal="center" vertical="center"/>
      <protection locked="0"/>
    </xf>
    <xf numFmtId="167" fontId="62" fillId="0" borderId="27" xfId="124" applyNumberFormat="1" applyFont="1" applyBorder="1" applyAlignment="1" applyProtection="1">
      <alignment horizontal="center" vertical="center"/>
      <protection locked="0"/>
    </xf>
    <xf numFmtId="167" fontId="62" fillId="0" borderId="38" xfId="124" applyNumberFormat="1" applyFont="1" applyBorder="1" applyAlignment="1" applyProtection="1">
      <alignment horizontal="center" vertical="center"/>
      <protection locked="0"/>
    </xf>
    <xf numFmtId="167" fontId="62" fillId="0" borderId="39" xfId="124" applyNumberFormat="1" applyFont="1" applyBorder="1" applyAlignment="1" applyProtection="1">
      <alignment horizontal="center" vertical="center"/>
      <protection locked="0"/>
    </xf>
    <xf numFmtId="167" fontId="62" fillId="0" borderId="48" xfId="124" applyNumberFormat="1" applyFont="1" applyBorder="1" applyAlignment="1" applyProtection="1">
      <alignment horizontal="center" vertical="center"/>
      <protection locked="0"/>
    </xf>
    <xf numFmtId="167" fontId="62" fillId="64" borderId="44" xfId="124" applyNumberFormat="1" applyFont="1" applyFill="1" applyBorder="1" applyAlignment="1" applyProtection="1">
      <alignment horizontal="center" vertical="center"/>
      <protection locked="0"/>
    </xf>
    <xf numFmtId="0" fontId="16" fillId="0" borderId="0" xfId="123" applyFont="1" applyProtection="1">
      <protection locked="0"/>
    </xf>
    <xf numFmtId="0" fontId="21" fillId="0" borderId="0" xfId="47" applyFont="1" applyAlignment="1" applyProtection="1">
      <alignment horizontal="right" vertical="top"/>
      <protection locked="0"/>
    </xf>
    <xf numFmtId="167" fontId="1" fillId="0" borderId="57" xfId="123" applyNumberFormat="1" applyBorder="1" applyProtection="1">
      <protection locked="0"/>
    </xf>
    <xf numFmtId="167" fontId="1" fillId="0" borderId="134" xfId="123" applyNumberFormat="1" applyBorder="1" applyProtection="1">
      <protection locked="0"/>
    </xf>
    <xf numFmtId="167" fontId="1" fillId="59" borderId="57" xfId="123" applyNumberFormat="1" applyFill="1" applyBorder="1" applyProtection="1">
      <protection locked="0"/>
    </xf>
    <xf numFmtId="167" fontId="1" fillId="59" borderId="134" xfId="123" applyNumberFormat="1" applyFill="1" applyBorder="1" applyProtection="1">
      <protection locked="0"/>
    </xf>
    <xf numFmtId="167" fontId="16" fillId="59" borderId="0" xfId="29" applyFont="1" applyFill="1" applyBorder="1" applyAlignment="1" applyProtection="1">
      <alignment vertical="top"/>
      <protection locked="0"/>
    </xf>
    <xf numFmtId="167" fontId="16" fillId="59" borderId="111" xfId="29" applyFont="1" applyFill="1" applyBorder="1" applyAlignment="1" applyProtection="1">
      <alignment vertical="top"/>
      <protection locked="0"/>
    </xf>
    <xf numFmtId="0" fontId="72" fillId="0" borderId="0" xfId="123" applyFont="1" applyBorder="1" applyAlignment="1" applyProtection="1">
      <alignment horizontal="center" vertical="top" wrapText="1"/>
      <protection locked="0"/>
    </xf>
    <xf numFmtId="0" fontId="16" fillId="63" borderId="79" xfId="123" applyFont="1" applyFill="1" applyBorder="1" applyAlignment="1" applyProtection="1">
      <alignment horizontal="center"/>
      <protection locked="0"/>
    </xf>
    <xf numFmtId="0" fontId="16" fillId="63" borderId="38" xfId="123" applyFont="1" applyFill="1" applyBorder="1" applyAlignment="1" applyProtection="1">
      <alignment horizontal="center" wrapText="1"/>
      <protection locked="0"/>
    </xf>
    <xf numFmtId="0" fontId="1" fillId="0" borderId="0" xfId="123" applyFont="1" applyProtection="1">
      <protection locked="0"/>
    </xf>
    <xf numFmtId="49" fontId="1" fillId="0" borderId="0" xfId="123" applyNumberFormat="1" applyFont="1" applyAlignment="1" applyProtection="1">
      <alignment vertical="top" wrapText="1"/>
      <protection locked="0"/>
    </xf>
    <xf numFmtId="0" fontId="1" fillId="0" borderId="57" xfId="123" applyFont="1" applyBorder="1" applyProtection="1">
      <protection locked="0"/>
    </xf>
    <xf numFmtId="0" fontId="1" fillId="0" borderId="0" xfId="123" applyFont="1" applyBorder="1" applyProtection="1">
      <protection locked="0"/>
    </xf>
    <xf numFmtId="0" fontId="1" fillId="0" borderId="61" xfId="123" applyFont="1" applyBorder="1" applyProtection="1">
      <protection locked="0"/>
    </xf>
    <xf numFmtId="0" fontId="1" fillId="0" borderId="107" xfId="123" applyFont="1" applyBorder="1" applyProtection="1">
      <protection locked="0"/>
    </xf>
    <xf numFmtId="167" fontId="1" fillId="0" borderId="0" xfId="123" applyNumberFormat="1" applyProtection="1">
      <protection locked="0"/>
    </xf>
    <xf numFmtId="166" fontId="1" fillId="0" borderId="0" xfId="126" applyFont="1" applyProtection="1">
      <protection locked="0"/>
    </xf>
    <xf numFmtId="0" fontId="1" fillId="0" borderId="0" xfId="123" applyFont="1" applyBorder="1" applyAlignment="1" applyProtection="1">
      <alignment vertical="top" wrapText="1"/>
      <protection locked="0"/>
    </xf>
    <xf numFmtId="0" fontId="1" fillId="0" borderId="0" xfId="123" applyFont="1" applyAlignment="1" applyProtection="1">
      <alignment vertical="top" wrapText="1"/>
      <protection locked="0"/>
    </xf>
    <xf numFmtId="0" fontId="1" fillId="63" borderId="57" xfId="123" applyFont="1" applyFill="1" applyBorder="1" applyAlignment="1" applyProtection="1">
      <alignment vertical="top"/>
      <protection locked="0"/>
    </xf>
    <xf numFmtId="0" fontId="1" fillId="63" borderId="0" xfId="123" applyFont="1" applyFill="1" applyBorder="1" applyAlignment="1" applyProtection="1">
      <alignment vertical="top"/>
      <protection locked="0"/>
    </xf>
    <xf numFmtId="0" fontId="1" fillId="0" borderId="57" xfId="123" applyFont="1" applyFill="1" applyBorder="1" applyAlignment="1" applyProtection="1">
      <alignment vertical="top"/>
      <protection locked="0"/>
    </xf>
    <xf numFmtId="0" fontId="1" fillId="0" borderId="0" xfId="123" applyFont="1" applyFill="1" applyBorder="1" applyAlignment="1" applyProtection="1">
      <alignment vertical="top"/>
      <protection locked="0"/>
    </xf>
    <xf numFmtId="3" fontId="16" fillId="59" borderId="0" xfId="123" applyNumberFormat="1" applyFont="1" applyFill="1" applyBorder="1" applyAlignment="1" applyProtection="1">
      <alignment vertical="top"/>
      <protection locked="0"/>
    </xf>
    <xf numFmtId="0" fontId="1" fillId="0" borderId="61" xfId="123" applyFont="1" applyFill="1" applyBorder="1" applyAlignment="1" applyProtection="1">
      <alignment vertical="top"/>
      <protection locked="0"/>
    </xf>
    <xf numFmtId="0" fontId="1" fillId="0" borderId="107" xfId="123" applyFont="1" applyFill="1" applyBorder="1" applyAlignment="1" applyProtection="1">
      <alignment vertical="top"/>
      <protection locked="0"/>
    </xf>
    <xf numFmtId="167" fontId="16" fillId="59" borderId="137" xfId="29" applyFont="1" applyFill="1" applyBorder="1" applyAlignment="1" applyProtection="1">
      <alignment vertical="top"/>
      <protection locked="0"/>
    </xf>
    <xf numFmtId="0" fontId="1" fillId="0" borderId="39" xfId="123" applyFont="1" applyFill="1" applyBorder="1" applyProtection="1">
      <protection locked="0"/>
    </xf>
    <xf numFmtId="0" fontId="1" fillId="0" borderId="39" xfId="123" applyFont="1" applyBorder="1" applyProtection="1">
      <protection locked="0"/>
    </xf>
    <xf numFmtId="0" fontId="1" fillId="0" borderId="0" xfId="123" applyFont="1" applyFill="1" applyBorder="1" applyProtection="1">
      <protection locked="0"/>
    </xf>
    <xf numFmtId="0" fontId="1" fillId="0" borderId="0" xfId="123" applyFont="1" applyBorder="1" applyAlignment="1" applyProtection="1">
      <alignment horizontal="left" vertical="top" wrapText="1"/>
      <protection locked="0"/>
    </xf>
    <xf numFmtId="0" fontId="1" fillId="0" borderId="53" xfId="123" applyBorder="1" applyProtection="1">
      <protection locked="0"/>
    </xf>
    <xf numFmtId="10" fontId="62" fillId="0" borderId="38" xfId="125" applyNumberFormat="1" applyFont="1" applyBorder="1" applyAlignment="1" applyProtection="1">
      <alignment horizontal="center" vertical="center" wrapText="1"/>
      <protection locked="0"/>
    </xf>
    <xf numFmtId="0" fontId="1" fillId="0" borderId="100" xfId="123" applyFont="1" applyBorder="1" applyProtection="1">
      <protection locked="0"/>
    </xf>
    <xf numFmtId="0" fontId="1" fillId="0" borderId="84" xfId="123" applyFont="1" applyBorder="1" applyProtection="1">
      <protection locked="0"/>
    </xf>
    <xf numFmtId="0" fontId="1" fillId="0" borderId="105" xfId="123" applyFont="1" applyBorder="1" applyAlignment="1" applyProtection="1">
      <alignment wrapText="1"/>
      <protection locked="0"/>
    </xf>
    <xf numFmtId="167" fontId="1" fillId="0" borderId="0" xfId="123" applyNumberFormat="1" applyFont="1" applyBorder="1" applyAlignment="1" applyProtection="1">
      <alignment horizontal="center" vertical="center"/>
      <protection locked="0"/>
    </xf>
    <xf numFmtId="167" fontId="1" fillId="0" borderId="27" xfId="123" applyNumberFormat="1" applyFont="1" applyBorder="1" applyAlignment="1" applyProtection="1">
      <alignment horizontal="center" vertical="center"/>
      <protection locked="0"/>
    </xf>
    <xf numFmtId="167" fontId="1" fillId="0" borderId="38" xfId="123" applyNumberFormat="1" applyFont="1" applyBorder="1" applyAlignment="1" applyProtection="1">
      <alignment horizontal="center" vertical="center"/>
      <protection locked="0"/>
    </xf>
    <xf numFmtId="0" fontId="1" fillId="68" borderId="63" xfId="123" applyFont="1" applyFill="1" applyBorder="1" applyAlignment="1" applyProtection="1">
      <alignment wrapText="1"/>
      <protection locked="0"/>
    </xf>
    <xf numFmtId="167" fontId="1" fillId="68" borderId="22" xfId="123" applyNumberFormat="1" applyFont="1" applyFill="1" applyBorder="1" applyAlignment="1" applyProtection="1">
      <alignment horizontal="center" vertical="center"/>
      <protection locked="0"/>
    </xf>
    <xf numFmtId="167" fontId="1" fillId="68" borderId="60" xfId="123" applyNumberFormat="1" applyFont="1" applyFill="1" applyBorder="1" applyAlignment="1" applyProtection="1">
      <alignment horizontal="center" vertical="center"/>
      <protection locked="0"/>
    </xf>
    <xf numFmtId="167" fontId="1" fillId="0" borderId="23" xfId="123" applyNumberFormat="1" applyFont="1" applyBorder="1" applyAlignment="1" applyProtection="1">
      <alignment horizontal="center" vertical="center"/>
      <protection locked="0"/>
    </xf>
    <xf numFmtId="0" fontId="1" fillId="68" borderId="61" xfId="123" applyFont="1" applyFill="1" applyBorder="1" applyAlignment="1" applyProtection="1">
      <alignment wrapText="1"/>
      <protection locked="0"/>
    </xf>
    <xf numFmtId="167" fontId="1" fillId="68" borderId="131" xfId="123" applyNumberFormat="1" applyFont="1" applyFill="1" applyBorder="1" applyAlignment="1" applyProtection="1">
      <alignment horizontal="center" vertical="center"/>
      <protection locked="0"/>
    </xf>
    <xf numFmtId="167" fontId="1" fillId="68" borderId="0" xfId="123" applyNumberFormat="1" applyFont="1" applyFill="1" applyBorder="1" applyAlignment="1" applyProtection="1">
      <alignment horizontal="center" vertical="center"/>
      <protection locked="0"/>
    </xf>
    <xf numFmtId="167" fontId="1" fillId="68" borderId="132" xfId="123" applyNumberFormat="1" applyFont="1" applyFill="1" applyBorder="1" applyAlignment="1" applyProtection="1">
      <alignment horizontal="center" vertical="center"/>
      <protection locked="0"/>
    </xf>
    <xf numFmtId="167" fontId="62" fillId="0" borderId="138" xfId="124" applyNumberFormat="1" applyFont="1" applyBorder="1" applyAlignment="1" applyProtection="1">
      <alignment horizontal="center" vertical="center"/>
      <protection locked="0"/>
    </xf>
    <xf numFmtId="167" fontId="62" fillId="64" borderId="92" xfId="124" applyNumberFormat="1" applyFont="1" applyFill="1" applyBorder="1" applyAlignment="1" applyProtection="1">
      <alignment horizontal="center" vertical="center"/>
      <protection locked="0"/>
    </xf>
    <xf numFmtId="0" fontId="1" fillId="64" borderId="47" xfId="123" applyFont="1" applyFill="1" applyBorder="1" applyAlignment="1" applyProtection="1">
      <alignment wrapText="1"/>
      <protection locked="0"/>
    </xf>
    <xf numFmtId="0" fontId="1" fillId="0" borderId="0" xfId="123" applyFont="1" applyBorder="1" applyAlignment="1" applyProtection="1">
      <alignment wrapText="1"/>
      <protection locked="0"/>
    </xf>
    <xf numFmtId="0" fontId="83" fillId="0" borderId="0" xfId="0" applyFont="1"/>
    <xf numFmtId="0" fontId="19" fillId="0" borderId="0" xfId="198"/>
    <xf numFmtId="0" fontId="22" fillId="0" borderId="0" xfId="198" applyFont="1" applyProtection="1">
      <protection locked="0"/>
    </xf>
    <xf numFmtId="0" fontId="19" fillId="0" borderId="0" xfId="198" applyFont="1" applyProtection="1">
      <protection locked="0"/>
    </xf>
    <xf numFmtId="0" fontId="21" fillId="0" borderId="0" xfId="47" applyFont="1" applyAlignment="1" applyProtection="1">
      <alignment vertical="top"/>
      <protection locked="0"/>
    </xf>
    <xf numFmtId="0" fontId="21" fillId="59" borderId="0" xfId="47" applyFont="1" applyFill="1" applyBorder="1" applyAlignment="1" applyProtection="1">
      <alignment vertical="top"/>
      <protection locked="0"/>
    </xf>
    <xf numFmtId="0" fontId="21" fillId="59" borderId="0" xfId="47" applyFont="1" applyFill="1" applyAlignment="1" applyProtection="1">
      <alignment vertical="top"/>
      <protection locked="0"/>
    </xf>
    <xf numFmtId="0" fontId="22" fillId="0" borderId="19" xfId="198" applyFont="1" applyBorder="1" applyAlignment="1" applyProtection="1">
      <alignment horizontal="center" vertical="center" wrapText="1"/>
      <protection locked="0"/>
    </xf>
    <xf numFmtId="0" fontId="22" fillId="0" borderId="0" xfId="47" applyFont="1" applyProtection="1">
      <protection locked="0"/>
    </xf>
    <xf numFmtId="0" fontId="26" fillId="0" borderId="0" xfId="198" applyFont="1" applyProtection="1">
      <protection locked="0"/>
    </xf>
    <xf numFmtId="0" fontId="19" fillId="0" borderId="19" xfId="198" applyBorder="1" applyProtection="1">
      <protection locked="0"/>
    </xf>
    <xf numFmtId="0" fontId="19" fillId="0" borderId="0" xfId="198" applyAlignment="1" applyProtection="1">
      <alignment horizontal="center" vertical="center" wrapText="1"/>
      <protection locked="0"/>
    </xf>
    <xf numFmtId="0" fontId="22" fillId="70" borderId="0" xfId="198" applyFont="1" applyFill="1" applyProtection="1">
      <protection locked="0"/>
    </xf>
    <xf numFmtId="0" fontId="19" fillId="70" borderId="0" xfId="198" applyFill="1" applyProtection="1">
      <protection locked="0"/>
    </xf>
    <xf numFmtId="0" fontId="22" fillId="70" borderId="19" xfId="198" applyFont="1" applyFill="1" applyBorder="1" applyProtection="1">
      <protection locked="0"/>
    </xf>
    <xf numFmtId="170" fontId="19" fillId="59" borderId="19" xfId="29" applyNumberFormat="1" applyFont="1" applyFill="1" applyBorder="1" applyProtection="1">
      <protection locked="0"/>
    </xf>
    <xf numFmtId="0" fontId="22" fillId="0" borderId="19" xfId="198" applyFont="1" applyFill="1" applyBorder="1" applyProtection="1">
      <protection locked="0"/>
    </xf>
    <xf numFmtId="0" fontId="22" fillId="63" borderId="0" xfId="198" applyFont="1" applyFill="1" applyProtection="1">
      <protection locked="0"/>
    </xf>
    <xf numFmtId="0" fontId="19" fillId="63" borderId="0" xfId="198" applyFill="1" applyProtection="1">
      <protection locked="0"/>
    </xf>
    <xf numFmtId="170" fontId="19" fillId="71" borderId="19" xfId="29" quotePrefix="1" applyNumberFormat="1" applyFont="1" applyFill="1" applyBorder="1" applyAlignment="1" applyProtection="1">
      <alignment horizontal="center"/>
      <protection locked="0"/>
    </xf>
    <xf numFmtId="10" fontId="19" fillId="0" borderId="19" xfId="196" applyNumberFormat="1" applyFont="1" applyFill="1" applyBorder="1" applyProtection="1">
      <protection locked="0"/>
    </xf>
    <xf numFmtId="170" fontId="19" fillId="0" borderId="19" xfId="29" applyNumberFormat="1" applyFont="1" applyFill="1" applyBorder="1" applyProtection="1">
      <protection locked="0"/>
    </xf>
    <xf numFmtId="0" fontId="21" fillId="0" borderId="0" xfId="47" applyFont="1" applyAlignment="1" applyProtection="1">
      <alignment horizontal="right" vertical="top"/>
      <protection locked="0"/>
    </xf>
    <xf numFmtId="0" fontId="19" fillId="0" borderId="0" xfId="47" applyAlignment="1" applyProtection="1">
      <protection locked="0"/>
    </xf>
    <xf numFmtId="184" fontId="18" fillId="59" borderId="19" xfId="126" applyNumberFormat="1" applyFont="1" applyFill="1" applyBorder="1" applyProtection="1">
      <protection locked="0"/>
    </xf>
    <xf numFmtId="168" fontId="18" fillId="0" borderId="19" xfId="29" applyNumberFormat="1" applyFont="1" applyBorder="1" applyProtection="1">
      <protection locked="0"/>
    </xf>
    <xf numFmtId="10" fontId="18" fillId="0" borderId="19" xfId="29" applyNumberFormat="1" applyFont="1" applyBorder="1" applyProtection="1">
      <protection locked="0"/>
    </xf>
    <xf numFmtId="10" fontId="18" fillId="0" borderId="35" xfId="29" applyNumberFormat="1" applyFont="1" applyBorder="1" applyProtection="1">
      <protection locked="0"/>
    </xf>
    <xf numFmtId="170" fontId="0" fillId="0" borderId="28" xfId="199" applyNumberFormat="1" applyFont="1" applyBorder="1" applyProtection="1">
      <protection locked="0"/>
    </xf>
    <xf numFmtId="44" fontId="0" fillId="0" borderId="19" xfId="200" applyFont="1" applyBorder="1" applyProtection="1">
      <protection locked="0"/>
    </xf>
    <xf numFmtId="10" fontId="0" fillId="0" borderId="34" xfId="201" applyNumberFormat="1" applyFont="1" applyBorder="1" applyProtection="1">
      <protection locked="0"/>
    </xf>
    <xf numFmtId="170" fontId="0" fillId="0" borderId="26" xfId="199" applyNumberFormat="1" applyFont="1" applyBorder="1" applyProtection="1">
      <protection locked="0"/>
    </xf>
    <xf numFmtId="0" fontId="18" fillId="0" borderId="88" xfId="47" applyFont="1" applyBorder="1" applyAlignment="1" applyProtection="1">
      <alignment horizontal="center"/>
      <protection locked="0"/>
    </xf>
    <xf numFmtId="170" fontId="18" fillId="0" borderId="35" xfId="199" applyNumberFormat="1" applyFont="1" applyBorder="1" applyAlignment="1" applyProtection="1">
      <alignment horizontal="center"/>
      <protection locked="0"/>
    </xf>
    <xf numFmtId="44" fontId="0" fillId="0" borderId="89" xfId="200" applyFont="1" applyBorder="1" applyProtection="1">
      <protection locked="0"/>
    </xf>
    <xf numFmtId="0" fontId="18" fillId="0" borderId="71" xfId="47" applyFont="1" applyBorder="1" applyAlignment="1" applyProtection="1">
      <alignment horizontal="center"/>
      <protection locked="0"/>
    </xf>
    <xf numFmtId="44" fontId="0" fillId="0" borderId="34" xfId="200" applyFont="1" applyBorder="1" applyProtection="1">
      <protection locked="0"/>
    </xf>
    <xf numFmtId="44" fontId="0" fillId="0" borderId="26" xfId="200" applyFont="1" applyBorder="1" applyProtection="1">
      <protection locked="0"/>
    </xf>
    <xf numFmtId="44" fontId="0" fillId="0" borderId="35" xfId="200" applyFont="1" applyBorder="1" applyProtection="1">
      <protection locked="0"/>
    </xf>
    <xf numFmtId="44" fontId="0" fillId="0" borderId="44" xfId="200" applyFont="1" applyBorder="1" applyProtection="1">
      <protection locked="0"/>
    </xf>
    <xf numFmtId="10" fontId="0" fillId="0" borderId="19" xfId="201" applyNumberFormat="1" applyFont="1" applyBorder="1" applyProtection="1">
      <protection locked="0"/>
    </xf>
    <xf numFmtId="10" fontId="0" fillId="0" borderId="26" xfId="201" applyNumberFormat="1" applyFont="1" applyBorder="1" applyProtection="1">
      <protection locked="0"/>
    </xf>
    <xf numFmtId="44" fontId="0" fillId="0" borderId="76" xfId="200" applyFont="1" applyBorder="1" applyProtection="1">
      <protection locked="0"/>
    </xf>
    <xf numFmtId="44" fontId="0" fillId="0" borderId="71" xfId="200" applyFont="1" applyBorder="1" applyProtection="1">
      <protection locked="0"/>
    </xf>
    <xf numFmtId="10" fontId="0" fillId="0" borderId="71" xfId="201" applyNumberFormat="1" applyFont="1" applyBorder="1" applyProtection="1">
      <protection locked="0"/>
    </xf>
    <xf numFmtId="170" fontId="1" fillId="59" borderId="49" xfId="199" applyNumberFormat="1" applyFill="1" applyBorder="1" applyProtection="1">
      <protection locked="0"/>
    </xf>
    <xf numFmtId="170" fontId="1" fillId="0" borderId="49" xfId="199" applyNumberFormat="1" applyBorder="1" applyProtection="1">
      <protection locked="0"/>
    </xf>
    <xf numFmtId="170" fontId="1" fillId="59" borderId="38" xfId="199" applyNumberFormat="1" applyFill="1" applyBorder="1" applyProtection="1">
      <protection locked="0"/>
    </xf>
    <xf numFmtId="166" fontId="1" fillId="59" borderId="49" xfId="200" applyNumberFormat="1" applyFill="1" applyBorder="1" applyProtection="1">
      <protection locked="0"/>
    </xf>
    <xf numFmtId="171" fontId="1" fillId="59" borderId="49" xfId="200" applyNumberFormat="1" applyFill="1" applyBorder="1" applyProtection="1">
      <protection locked="0"/>
    </xf>
    <xf numFmtId="166" fontId="1" fillId="0" borderId="49" xfId="200" applyNumberFormat="1" applyBorder="1" applyProtection="1">
      <protection locked="0"/>
    </xf>
    <xf numFmtId="0" fontId="0" fillId="56" borderId="49" xfId="0" applyFill="1" applyBorder="1" applyProtection="1">
      <protection locked="0"/>
    </xf>
    <xf numFmtId="169" fontId="1" fillId="59" borderId="49" xfId="200" applyNumberFormat="1" applyFill="1" applyBorder="1" applyProtection="1">
      <protection locked="0"/>
    </xf>
    <xf numFmtId="169" fontId="1" fillId="0" borderId="49" xfId="200" applyNumberFormat="1" applyBorder="1" applyProtection="1">
      <protection locked="0"/>
    </xf>
    <xf numFmtId="169" fontId="1" fillId="0" borderId="38" xfId="200" applyNumberFormat="1" applyBorder="1" applyProtection="1">
      <protection locked="0"/>
    </xf>
    <xf numFmtId="43" fontId="1" fillId="0" borderId="49" xfId="199" applyBorder="1" applyProtection="1">
      <protection locked="0"/>
    </xf>
    <xf numFmtId="44" fontId="1" fillId="59" borderId="49" xfId="200" applyFill="1" applyBorder="1" applyProtection="1">
      <protection locked="0"/>
    </xf>
    <xf numFmtId="166" fontId="1" fillId="0" borderId="55" xfId="200" applyNumberFormat="1" applyBorder="1" applyProtection="1">
      <protection locked="0"/>
    </xf>
    <xf numFmtId="169" fontId="1" fillId="0" borderId="55" xfId="200" applyNumberFormat="1" applyBorder="1" applyProtection="1">
      <protection locked="0"/>
    </xf>
    <xf numFmtId="0" fontId="0" fillId="0" borderId="49" xfId="0" applyBorder="1" applyProtection="1">
      <protection locked="0"/>
    </xf>
    <xf numFmtId="0" fontId="0" fillId="0" borderId="38" xfId="0" applyBorder="1" applyProtection="1">
      <protection locked="0"/>
    </xf>
    <xf numFmtId="166" fontId="0" fillId="0" borderId="49" xfId="0" applyNumberFormat="1" applyBorder="1" applyProtection="1">
      <protection locked="0"/>
    </xf>
    <xf numFmtId="0" fontId="0" fillId="0" borderId="56" xfId="0" applyBorder="1" applyProtection="1">
      <protection locked="0"/>
    </xf>
    <xf numFmtId="0" fontId="0" fillId="0" borderId="50" xfId="0" applyBorder="1" applyProtection="1">
      <protection locked="0"/>
    </xf>
    <xf numFmtId="0" fontId="0" fillId="0" borderId="40" xfId="0" applyBorder="1" applyProtection="1">
      <protection locked="0"/>
    </xf>
    <xf numFmtId="166" fontId="0" fillId="0" borderId="50" xfId="0" applyNumberFormat="1" applyBorder="1" applyProtection="1">
      <protection locked="0"/>
    </xf>
    <xf numFmtId="0" fontId="0" fillId="56" borderId="50" xfId="0" applyFill="1" applyBorder="1" applyProtection="1">
      <protection locked="0"/>
    </xf>
    <xf numFmtId="169" fontId="0" fillId="0" borderId="50" xfId="0" applyNumberFormat="1" applyBorder="1" applyProtection="1">
      <protection locked="0"/>
    </xf>
    <xf numFmtId="169" fontId="0" fillId="0" borderId="40" xfId="0" applyNumberFormat="1" applyBorder="1" applyProtection="1">
      <protection locked="0"/>
    </xf>
    <xf numFmtId="0" fontId="16" fillId="63" borderId="79" xfId="123" applyFont="1" applyFill="1" applyBorder="1" applyAlignment="1" applyProtection="1">
      <alignment horizontal="center"/>
      <protection locked="0"/>
    </xf>
    <xf numFmtId="10" fontId="21" fillId="59" borderId="0" xfId="201" applyNumberFormat="1" applyFont="1" applyFill="1" applyBorder="1" applyProtection="1">
      <protection locked="0"/>
    </xf>
    <xf numFmtId="10" fontId="21" fillId="0" borderId="0" xfId="201" applyNumberFormat="1" applyFont="1" applyFill="1" applyBorder="1" applyProtection="1">
      <protection locked="0"/>
    </xf>
    <xf numFmtId="174" fontId="21" fillId="0" borderId="0" xfId="200" applyNumberFormat="1" applyFont="1" applyBorder="1" applyProtection="1">
      <protection locked="0"/>
    </xf>
    <xf numFmtId="10" fontId="21" fillId="59" borderId="21" xfId="201" applyNumberFormat="1" applyFont="1" applyFill="1" applyBorder="1" applyProtection="1">
      <protection locked="0"/>
    </xf>
    <xf numFmtId="174" fontId="21" fillId="0" borderId="21" xfId="200" applyNumberFormat="1" applyFont="1" applyBorder="1" applyProtection="1">
      <protection locked="0"/>
    </xf>
    <xf numFmtId="168" fontId="21" fillId="0" borderId="23" xfId="201" applyNumberFormat="1" applyFont="1" applyBorder="1" applyProtection="1">
      <protection locked="0"/>
    </xf>
    <xf numFmtId="168" fontId="21" fillId="0" borderId="23" xfId="201" applyNumberFormat="1" applyFont="1" applyFill="1" applyBorder="1" applyProtection="1">
      <protection locked="0"/>
    </xf>
    <xf numFmtId="174" fontId="21" fillId="0" borderId="23" xfId="200" applyNumberFormat="1" applyFont="1" applyBorder="1" applyProtection="1">
      <protection locked="0"/>
    </xf>
    <xf numFmtId="10" fontId="21" fillId="0" borderId="23" xfId="201" applyNumberFormat="1" applyFont="1" applyBorder="1" applyProtection="1">
      <protection locked="0"/>
    </xf>
    <xf numFmtId="168" fontId="21" fillId="0" borderId="0" xfId="201" applyNumberFormat="1" applyFont="1" applyBorder="1" applyProtection="1">
      <protection locked="0"/>
    </xf>
    <xf numFmtId="168" fontId="21" fillId="0" borderId="0" xfId="201" applyNumberFormat="1" applyFont="1" applyFill="1" applyBorder="1" applyProtection="1">
      <protection locked="0"/>
    </xf>
    <xf numFmtId="10" fontId="21" fillId="0" borderId="0" xfId="201" applyNumberFormat="1" applyFont="1" applyBorder="1" applyProtection="1">
      <protection locked="0"/>
    </xf>
    <xf numFmtId="10" fontId="21" fillId="59" borderId="0" xfId="201" applyNumberFormat="1" applyFont="1" applyFill="1" applyBorder="1" applyAlignment="1" applyProtection="1">
      <protection locked="0"/>
    </xf>
    <xf numFmtId="10" fontId="21" fillId="0" borderId="0" xfId="201" applyNumberFormat="1" applyFont="1" applyFill="1" applyBorder="1" applyAlignment="1" applyProtection="1">
      <protection locked="0"/>
    </xf>
    <xf numFmtId="174" fontId="21" fillId="0" borderId="0" xfId="200" applyNumberFormat="1" applyFont="1" applyBorder="1" applyAlignment="1" applyProtection="1">
      <protection locked="0"/>
    </xf>
    <xf numFmtId="10" fontId="21" fillId="59" borderId="21" xfId="201" applyNumberFormat="1" applyFont="1" applyFill="1" applyBorder="1" applyAlignment="1" applyProtection="1">
      <protection locked="0"/>
    </xf>
    <xf numFmtId="174" fontId="21" fillId="0" borderId="21" xfId="200" applyNumberFormat="1" applyFont="1" applyBorder="1" applyAlignment="1" applyProtection="1">
      <protection locked="0"/>
    </xf>
    <xf numFmtId="174" fontId="21" fillId="59" borderId="107" xfId="200" applyNumberFormat="1" applyFont="1" applyFill="1" applyBorder="1" applyProtection="1">
      <protection locked="0"/>
    </xf>
    <xf numFmtId="10" fontId="21" fillId="0" borderId="107" xfId="201" applyNumberFormat="1" applyFont="1" applyBorder="1" applyProtection="1">
      <protection locked="0"/>
    </xf>
    <xf numFmtId="174" fontId="21" fillId="0" borderId="107" xfId="200" applyNumberFormat="1" applyFont="1" applyBorder="1" applyProtection="1">
      <protection locked="0"/>
    </xf>
    <xf numFmtId="169" fontId="18" fillId="0" borderId="0" xfId="165" applyNumberFormat="1"/>
    <xf numFmtId="0" fontId="0" fillId="64" borderId="84" xfId="123" applyFont="1" applyFill="1" applyBorder="1" applyAlignment="1" applyProtection="1">
      <alignment wrapText="1"/>
      <protection locked="0"/>
    </xf>
    <xf numFmtId="0" fontId="0" fillId="0" borderId="105" xfId="123" applyFont="1" applyBorder="1" applyAlignment="1" applyProtection="1">
      <alignment wrapText="1"/>
      <protection locked="0"/>
    </xf>
    <xf numFmtId="0" fontId="1" fillId="0" borderId="0" xfId="0" applyFont="1" applyAlignment="1">
      <alignment horizontal="left" vertical="top" wrapText="1"/>
    </xf>
    <xf numFmtId="0" fontId="18" fillId="0" borderId="0" xfId="1" applyAlignment="1" applyProtection="1">
      <alignment horizontal="left" wrapText="1"/>
      <protection locked="0"/>
    </xf>
    <xf numFmtId="0" fontId="22" fillId="0" borderId="0" xfId="1" applyFont="1" applyAlignment="1" applyProtection="1">
      <alignment horizontal="left" wrapText="1"/>
      <protection locked="0"/>
    </xf>
    <xf numFmtId="0" fontId="26" fillId="0" borderId="0" xfId="1" applyFont="1" applyAlignment="1" applyProtection="1">
      <alignment horizontal="center" vertical="top"/>
      <protection locked="0"/>
    </xf>
    <xf numFmtId="0" fontId="19" fillId="0" borderId="0" xfId="1" applyFont="1" applyAlignment="1" applyProtection="1">
      <alignment horizontal="left" vertical="top" wrapText="1"/>
      <protection locked="0"/>
    </xf>
    <xf numFmtId="0" fontId="65" fillId="0" borderId="52" xfId="136" applyFont="1" applyFill="1" applyBorder="1" applyAlignment="1" applyProtection="1">
      <alignment horizontal="center" vertical="center" wrapText="1"/>
      <protection locked="0"/>
    </xf>
    <xf numFmtId="0" fontId="53" fillId="0" borderId="52" xfId="136" applyFont="1" applyFill="1" applyBorder="1" applyAlignment="1" applyProtection="1">
      <alignment horizontal="center" vertical="center" wrapText="1"/>
      <protection locked="0"/>
    </xf>
    <xf numFmtId="0" fontId="65" fillId="0" borderId="94" xfId="136" applyFont="1" applyFill="1" applyBorder="1" applyAlignment="1" applyProtection="1">
      <alignment horizontal="center" vertical="center" wrapText="1"/>
      <protection locked="0"/>
    </xf>
    <xf numFmtId="0" fontId="65" fillId="0" borderId="73" xfId="136" applyFont="1" applyFill="1" applyBorder="1" applyAlignment="1" applyProtection="1">
      <alignment horizontal="center" vertical="center" wrapText="1"/>
      <protection locked="0"/>
    </xf>
    <xf numFmtId="0" fontId="65" fillId="0" borderId="31" xfId="136" applyFont="1" applyFill="1" applyBorder="1" applyAlignment="1" applyProtection="1">
      <alignment horizontal="center" vertical="center" wrapText="1"/>
      <protection locked="0"/>
    </xf>
    <xf numFmtId="0" fontId="26" fillId="0" borderId="0" xfId="136" applyFont="1" applyAlignment="1" applyProtection="1">
      <alignment horizontal="center" vertical="top"/>
      <protection locked="0"/>
    </xf>
    <xf numFmtId="0" fontId="26" fillId="0" borderId="0" xfId="136" applyFont="1" applyAlignment="1" applyProtection="1">
      <alignment horizontal="center" vertical="center" wrapText="1"/>
      <protection locked="0"/>
    </xf>
    <xf numFmtId="0" fontId="54" fillId="0" borderId="94" xfId="136" applyFont="1" applyFill="1" applyBorder="1" applyAlignment="1" applyProtection="1">
      <alignment horizontal="center" vertical="center" wrapText="1"/>
      <protection locked="0"/>
    </xf>
    <xf numFmtId="0" fontId="54" fillId="0" borderId="73" xfId="136" applyFont="1" applyFill="1" applyBorder="1" applyAlignment="1" applyProtection="1">
      <alignment horizontal="center" vertical="center" wrapText="1"/>
      <protection locked="0"/>
    </xf>
    <xf numFmtId="0" fontId="54" fillId="0" borderId="51" xfId="136" applyFont="1" applyFill="1" applyBorder="1" applyAlignment="1" applyProtection="1">
      <alignment horizontal="center" wrapText="1"/>
      <protection locked="0"/>
    </xf>
    <xf numFmtId="0" fontId="54" fillId="0" borderId="50" xfId="136" applyFont="1" applyFill="1" applyBorder="1" applyAlignment="1" applyProtection="1">
      <alignment horizontal="center" wrapText="1"/>
      <protection locked="0"/>
    </xf>
    <xf numFmtId="0" fontId="16" fillId="0" borderId="83" xfId="136" applyFont="1" applyBorder="1" applyProtection="1">
      <protection locked="0"/>
    </xf>
    <xf numFmtId="0" fontId="16" fillId="0" borderId="22" xfId="136" applyFont="1" applyBorder="1" applyProtection="1">
      <protection locked="0"/>
    </xf>
    <xf numFmtId="0" fontId="16" fillId="0" borderId="42" xfId="136" applyFont="1" applyBorder="1" applyProtection="1">
      <protection locked="0"/>
    </xf>
    <xf numFmtId="0" fontId="68" fillId="59" borderId="104" xfId="136" applyFont="1" applyFill="1" applyBorder="1" applyAlignment="1" applyProtection="1">
      <alignment horizontal="left" vertical="top"/>
      <protection locked="0"/>
    </xf>
    <xf numFmtId="0" fontId="68" fillId="59" borderId="90" xfId="136" applyFont="1" applyFill="1" applyBorder="1" applyAlignment="1" applyProtection="1">
      <alignment horizontal="left" vertical="top"/>
      <protection locked="0"/>
    </xf>
    <xf numFmtId="0" fontId="68" fillId="59" borderId="27" xfId="136" applyFont="1" applyFill="1" applyBorder="1" applyAlignment="1" applyProtection="1">
      <alignment horizontal="left" vertical="top"/>
      <protection locked="0"/>
    </xf>
    <xf numFmtId="0" fontId="68" fillId="59" borderId="85" xfId="136" applyFont="1" applyFill="1" applyBorder="1" applyAlignment="1" applyProtection="1">
      <alignment horizontal="left" vertical="top"/>
      <protection locked="0"/>
    </xf>
    <xf numFmtId="0" fontId="68" fillId="59" borderId="21" xfId="136" applyFont="1" applyFill="1" applyBorder="1" applyAlignment="1" applyProtection="1">
      <alignment horizontal="left" vertical="top"/>
      <protection locked="0"/>
    </xf>
    <xf numFmtId="0" fontId="68" fillId="59" borderId="25" xfId="136" applyFont="1" applyFill="1" applyBorder="1" applyAlignment="1" applyProtection="1">
      <alignment horizontal="left" vertical="top"/>
      <protection locked="0"/>
    </xf>
    <xf numFmtId="0" fontId="54" fillId="0" borderId="115" xfId="136" applyFont="1" applyFill="1" applyBorder="1" applyAlignment="1" applyProtection="1">
      <alignment horizontal="center" vertical="center" wrapText="1"/>
      <protection locked="0"/>
    </xf>
    <xf numFmtId="0" fontId="54" fillId="0" borderId="118" xfId="136" applyFont="1" applyFill="1" applyBorder="1" applyAlignment="1" applyProtection="1">
      <alignment horizontal="center" vertical="center" wrapText="1"/>
      <protection locked="0"/>
    </xf>
    <xf numFmtId="0" fontId="53" fillId="0" borderId="119" xfId="136" applyFont="1" applyFill="1" applyBorder="1" applyAlignment="1" applyProtection="1">
      <alignment vertical="center" wrapText="1"/>
      <protection locked="0"/>
    </xf>
    <xf numFmtId="0" fontId="54" fillId="0" borderId="116" xfId="136" applyFont="1" applyFill="1" applyBorder="1" applyAlignment="1" applyProtection="1">
      <alignment horizontal="center" vertical="center" wrapText="1"/>
      <protection locked="0"/>
    </xf>
    <xf numFmtId="0" fontId="54" fillId="0" borderId="117" xfId="136" applyFont="1" applyFill="1" applyBorder="1" applyAlignment="1" applyProtection="1">
      <alignment horizontal="center" vertical="center" wrapText="1"/>
      <protection locked="0"/>
    </xf>
    <xf numFmtId="0" fontId="54" fillId="0" borderId="31" xfId="136" applyFont="1" applyFill="1" applyBorder="1" applyAlignment="1" applyProtection="1">
      <alignment horizontal="center" vertical="center" wrapText="1"/>
      <protection locked="0"/>
    </xf>
    <xf numFmtId="0" fontId="67" fillId="0" borderId="83" xfId="136" applyFont="1" applyBorder="1" applyProtection="1">
      <protection locked="0"/>
    </xf>
    <xf numFmtId="0" fontId="67" fillId="0" borderId="22" xfId="136" applyFont="1" applyBorder="1" applyProtection="1">
      <protection locked="0"/>
    </xf>
    <xf numFmtId="0" fontId="67" fillId="0" borderId="42" xfId="136" applyFont="1" applyBorder="1" applyProtection="1">
      <protection locked="0"/>
    </xf>
    <xf numFmtId="0" fontId="19" fillId="0" borderId="0" xfId="47" applyAlignment="1" applyProtection="1">
      <alignment horizontal="left" wrapText="1"/>
      <protection locked="0"/>
    </xf>
    <xf numFmtId="0" fontId="19" fillId="0" borderId="0" xfId="47" applyFont="1" applyAlignment="1" applyProtection="1">
      <alignment horizontal="left" vertical="top" wrapText="1"/>
      <protection locked="0"/>
    </xf>
    <xf numFmtId="0" fontId="26" fillId="0" borderId="0" xfId="47" applyFont="1" applyAlignment="1" applyProtection="1">
      <alignment horizontal="center" vertical="top"/>
      <protection locked="0"/>
    </xf>
    <xf numFmtId="0" fontId="22" fillId="55" borderId="83" xfId="47" applyFont="1" applyFill="1" applyBorder="1" applyAlignment="1" applyProtection="1">
      <alignment horizontal="center"/>
      <protection locked="0"/>
    </xf>
    <xf numFmtId="0" fontId="22" fillId="55" borderId="22" xfId="47" applyFont="1" applyFill="1" applyBorder="1" applyAlignment="1" applyProtection="1">
      <alignment horizontal="center"/>
      <protection locked="0"/>
    </xf>
    <xf numFmtId="0" fontId="22" fillId="55" borderId="42" xfId="47" applyFont="1" applyFill="1" applyBorder="1" applyAlignment="1" applyProtection="1">
      <alignment horizontal="center"/>
      <protection locked="0"/>
    </xf>
    <xf numFmtId="0" fontId="22" fillId="0" borderId="83" xfId="47" applyFont="1" applyFill="1" applyBorder="1" applyAlignment="1" applyProtection="1">
      <alignment horizontal="left"/>
      <protection locked="0"/>
    </xf>
    <xf numFmtId="0" fontId="22" fillId="0" borderId="22" xfId="47" applyFont="1" applyFill="1" applyBorder="1" applyAlignment="1" applyProtection="1">
      <alignment horizontal="left"/>
      <protection locked="0"/>
    </xf>
    <xf numFmtId="0" fontId="22" fillId="0" borderId="42" xfId="47" applyFont="1" applyFill="1" applyBorder="1" applyAlignment="1" applyProtection="1">
      <alignment horizontal="left"/>
      <protection locked="0"/>
    </xf>
    <xf numFmtId="0" fontId="19" fillId="0" borderId="0" xfId="47" applyAlignment="1" applyProtection="1">
      <alignment horizontal="left" vertical="top" wrapText="1"/>
      <protection locked="0"/>
    </xf>
    <xf numFmtId="0" fontId="22" fillId="55" borderId="51" xfId="47" applyFont="1" applyFill="1" applyBorder="1" applyAlignment="1" applyProtection="1">
      <alignment horizontal="center" vertical="center" wrapText="1"/>
      <protection locked="0"/>
    </xf>
    <xf numFmtId="0" fontId="22" fillId="55" borderId="50" xfId="47" applyFont="1" applyFill="1" applyBorder="1" applyAlignment="1" applyProtection="1">
      <alignment horizontal="center" vertical="center" wrapText="1"/>
      <protection locked="0"/>
    </xf>
    <xf numFmtId="0" fontId="26" fillId="0" borderId="0" xfId="47" applyFont="1" applyAlignment="1" applyProtection="1">
      <alignment horizontal="center" vertical="center"/>
      <protection locked="0"/>
    </xf>
    <xf numFmtId="0" fontId="22" fillId="0" borderId="0" xfId="47" applyFont="1" applyAlignment="1" applyProtection="1">
      <alignment horizontal="center" vertical="center" wrapText="1"/>
      <protection locked="0"/>
    </xf>
    <xf numFmtId="0" fontId="22" fillId="55" borderId="81" xfId="47" applyFont="1" applyFill="1" applyBorder="1" applyAlignment="1" applyProtection="1">
      <alignment vertical="center"/>
      <protection locked="0"/>
    </xf>
    <xf numFmtId="0" fontId="22" fillId="55" borderId="43" xfId="47" applyFont="1" applyFill="1" applyBorder="1" applyAlignment="1" applyProtection="1">
      <alignment vertical="center"/>
      <protection locked="0"/>
    </xf>
    <xf numFmtId="0" fontId="19" fillId="0" borderId="50" xfId="47" applyBorder="1" applyAlignment="1" applyProtection="1">
      <alignment horizontal="center" wrapText="1"/>
      <protection locked="0"/>
    </xf>
    <xf numFmtId="0" fontId="22" fillId="0" borderId="0" xfId="47" applyFont="1" applyAlignment="1" applyProtection="1">
      <alignment horizontal="left" vertical="top" wrapText="1"/>
      <protection locked="0"/>
    </xf>
    <xf numFmtId="0" fontId="22" fillId="0" borderId="24" xfId="47" applyFont="1" applyBorder="1" applyAlignment="1" applyProtection="1">
      <alignment horizontal="left" vertical="top" wrapText="1"/>
      <protection locked="0"/>
    </xf>
    <xf numFmtId="0" fontId="22" fillId="0" borderId="80" xfId="147" applyFont="1" applyBorder="1" applyAlignment="1" applyProtection="1">
      <alignment horizontal="left"/>
      <protection locked="0"/>
    </xf>
    <xf numFmtId="0" fontId="22" fillId="0" borderId="45" xfId="147" applyFont="1" applyBorder="1" applyAlignment="1" applyProtection="1">
      <alignment horizontal="left"/>
      <protection locked="0"/>
    </xf>
    <xf numFmtId="0" fontId="22" fillId="0" borderId="47" xfId="147" applyFont="1" applyBorder="1" applyAlignment="1" applyProtection="1">
      <alignment horizontal="left"/>
      <protection locked="0"/>
    </xf>
    <xf numFmtId="0" fontId="22" fillId="0" borderId="43" xfId="147" applyFont="1" applyBorder="1" applyAlignment="1" applyProtection="1">
      <alignment horizontal="left"/>
      <protection locked="0"/>
    </xf>
    <xf numFmtId="0" fontId="18" fillId="0" borderId="0" xfId="147" applyAlignment="1" applyProtection="1">
      <alignment horizontal="left"/>
      <protection locked="0"/>
    </xf>
    <xf numFmtId="0" fontId="26" fillId="0" borderId="0" xfId="147" applyFont="1" applyAlignment="1" applyProtection="1">
      <alignment horizontal="center"/>
      <protection locked="0"/>
    </xf>
    <xf numFmtId="0" fontId="22" fillId="0" borderId="36" xfId="147" applyFont="1" applyBorder="1" applyAlignment="1" applyProtection="1">
      <alignment horizontal="left"/>
      <protection locked="0"/>
    </xf>
    <xf numFmtId="0" fontId="22" fillId="0" borderId="19" xfId="147" applyFont="1" applyBorder="1" applyAlignment="1" applyProtection="1">
      <alignment horizontal="left"/>
      <protection locked="0"/>
    </xf>
    <xf numFmtId="0" fontId="18" fillId="56" borderId="36" xfId="147" applyFill="1" applyBorder="1" applyAlignment="1" applyProtection="1">
      <alignment horizontal="center"/>
      <protection locked="0"/>
    </xf>
    <xf numFmtId="0" fontId="18" fillId="56" borderId="19" xfId="147" applyFill="1" applyBorder="1" applyAlignment="1" applyProtection="1">
      <alignment horizontal="center"/>
      <protection locked="0"/>
    </xf>
    <xf numFmtId="0" fontId="18" fillId="56" borderId="83" xfId="147" applyFill="1" applyBorder="1" applyAlignment="1" applyProtection="1">
      <alignment horizontal="center"/>
      <protection locked="0"/>
    </xf>
    <xf numFmtId="0" fontId="18" fillId="56" borderId="34" xfId="147" applyFill="1" applyBorder="1" applyAlignment="1" applyProtection="1">
      <alignment horizontal="center"/>
      <protection locked="0"/>
    </xf>
    <xf numFmtId="0" fontId="19" fillId="0" borderId="0" xfId="147" applyFont="1" applyAlignment="1" applyProtection="1">
      <alignment horizontal="left"/>
      <protection locked="0"/>
    </xf>
    <xf numFmtId="0" fontId="18" fillId="0" borderId="0" xfId="147" applyAlignment="1" applyProtection="1">
      <alignment wrapText="1"/>
      <protection locked="0"/>
    </xf>
    <xf numFmtId="0" fontId="51" fillId="0" borderId="0" xfId="147" applyFont="1" applyAlignment="1" applyProtection="1">
      <alignment horizontal="left" vertical="top" wrapText="1"/>
      <protection locked="0"/>
    </xf>
    <xf numFmtId="0" fontId="19" fillId="0" borderId="0" xfId="147" applyFont="1" applyAlignment="1" applyProtection="1">
      <alignment wrapText="1"/>
      <protection locked="0"/>
    </xf>
    <xf numFmtId="0" fontId="22" fillId="0" borderId="62" xfId="147" applyFont="1" applyBorder="1" applyAlignment="1" applyProtection="1">
      <alignment horizontal="left"/>
      <protection locked="0"/>
    </xf>
    <xf numFmtId="0" fontId="22" fillId="0" borderId="25" xfId="147" applyFont="1" applyBorder="1" applyAlignment="1" applyProtection="1">
      <alignment horizontal="left"/>
      <protection locked="0"/>
    </xf>
    <xf numFmtId="0" fontId="22" fillId="0" borderId="54" xfId="147" applyFont="1" applyBorder="1" applyAlignment="1" applyProtection="1">
      <alignment horizontal="left"/>
      <protection locked="0"/>
    </xf>
    <xf numFmtId="0" fontId="22" fillId="0" borderId="48" xfId="147" applyFont="1" applyBorder="1" applyAlignment="1" applyProtection="1">
      <alignment horizontal="left"/>
      <protection locked="0"/>
    </xf>
    <xf numFmtId="0" fontId="19" fillId="59" borderId="63" xfId="135" applyFont="1" applyFill="1" applyBorder="1" applyAlignment="1">
      <alignment horizontal="left"/>
    </xf>
    <xf numFmtId="0" fontId="19" fillId="59" borderId="42" xfId="135" applyFill="1" applyBorder="1" applyAlignment="1">
      <alignment horizontal="left"/>
    </xf>
    <xf numFmtId="0" fontId="19" fillId="59" borderId="62" xfId="135" applyFont="1" applyFill="1" applyBorder="1" applyAlignment="1">
      <alignment horizontal="left"/>
    </xf>
    <xf numFmtId="0" fontId="19" fillId="59" borderId="25" xfId="135" applyFill="1" applyBorder="1" applyAlignment="1">
      <alignment horizontal="left"/>
    </xf>
    <xf numFmtId="0" fontId="22" fillId="0" borderId="63" xfId="147" applyFont="1" applyBorder="1" applyAlignment="1" applyProtection="1">
      <alignment horizontal="left"/>
      <protection locked="0"/>
    </xf>
    <xf numFmtId="0" fontId="22" fillId="0" borderId="42" xfId="147" applyFont="1" applyBorder="1" applyAlignment="1" applyProtection="1">
      <alignment horizontal="left"/>
      <protection locked="0"/>
    </xf>
    <xf numFmtId="0" fontId="19" fillId="59" borderId="61" xfId="147" applyFont="1" applyFill="1" applyBorder="1" applyAlignment="1" applyProtection="1">
      <alignment horizontal="left"/>
      <protection locked="0"/>
    </xf>
    <xf numFmtId="0" fontId="18" fillId="59" borderId="136" xfId="147" applyFill="1" applyBorder="1" applyAlignment="1" applyProtection="1">
      <alignment horizontal="left"/>
      <protection locked="0"/>
    </xf>
    <xf numFmtId="0" fontId="19" fillId="59" borderId="36" xfId="135" applyFont="1" applyFill="1" applyBorder="1" applyAlignment="1">
      <alignment horizontal="left"/>
    </xf>
    <xf numFmtId="0" fontId="19" fillId="59" borderId="19" xfId="135" applyFill="1" applyBorder="1" applyAlignment="1">
      <alignment horizontal="left"/>
    </xf>
    <xf numFmtId="0" fontId="19" fillId="0" borderId="0" xfId="147" applyFont="1" applyAlignment="1" applyProtection="1">
      <alignment horizontal="left" vertical="center" wrapText="1"/>
      <protection locked="0"/>
    </xf>
    <xf numFmtId="0" fontId="18" fillId="0" borderId="0" xfId="147" applyAlignment="1" applyProtection="1">
      <alignment horizontal="left" vertical="center" wrapText="1"/>
      <protection locked="0"/>
    </xf>
    <xf numFmtId="0" fontId="19" fillId="0" borderId="0" xfId="147" applyFont="1" applyAlignment="1" applyProtection="1">
      <alignment horizontal="left" wrapText="1"/>
      <protection locked="0"/>
    </xf>
    <xf numFmtId="0" fontId="1" fillId="0" borderId="0" xfId="123" applyFont="1" applyAlignment="1" applyProtection="1">
      <alignment horizontal="left" vertical="top" wrapText="1"/>
      <protection locked="0"/>
    </xf>
    <xf numFmtId="0" fontId="26" fillId="0" borderId="0" xfId="47" applyFont="1" applyAlignment="1" applyProtection="1">
      <alignment horizontal="center"/>
      <protection locked="0"/>
    </xf>
    <xf numFmtId="0" fontId="16" fillId="68" borderId="78" xfId="123" applyFont="1" applyFill="1" applyBorder="1" applyAlignment="1" applyProtection="1">
      <alignment horizontal="center" vertical="top"/>
      <protection locked="0"/>
    </xf>
    <xf numFmtId="0" fontId="16" fillId="68" borderId="79" xfId="123" applyFont="1" applyFill="1" applyBorder="1" applyAlignment="1" applyProtection="1">
      <alignment horizontal="center" vertical="top"/>
      <protection locked="0"/>
    </xf>
    <xf numFmtId="0" fontId="16" fillId="68" borderId="53" xfId="123" applyFont="1" applyFill="1" applyBorder="1" applyAlignment="1" applyProtection="1">
      <alignment horizontal="center" vertical="top"/>
      <protection locked="0"/>
    </xf>
    <xf numFmtId="0" fontId="67" fillId="0" borderId="0" xfId="123" applyFont="1" applyAlignment="1" applyProtection="1">
      <alignment horizontal="center" vertical="top"/>
      <protection locked="0"/>
    </xf>
    <xf numFmtId="0" fontId="1" fillId="0" borderId="0" xfId="123" applyFont="1" applyAlignment="1" applyProtection="1">
      <alignment horizontal="left" vertical="top"/>
      <protection locked="0"/>
    </xf>
    <xf numFmtId="49" fontId="63" fillId="0" borderId="0" xfId="124" applyNumberFormat="1" applyFont="1" applyBorder="1" applyAlignment="1" applyProtection="1">
      <alignment horizontal="left" vertical="top" wrapText="1"/>
      <protection locked="0"/>
    </xf>
    <xf numFmtId="0" fontId="16" fillId="63" borderId="78" xfId="123" applyFont="1" applyFill="1" applyBorder="1" applyAlignment="1" applyProtection="1">
      <alignment horizontal="center"/>
      <protection locked="0"/>
    </xf>
    <xf numFmtId="0" fontId="16" fillId="63" borderId="79" xfId="123" applyFont="1" applyFill="1" applyBorder="1" applyAlignment="1" applyProtection="1">
      <alignment horizontal="center"/>
      <protection locked="0"/>
    </xf>
    <xf numFmtId="0" fontId="16" fillId="63" borderId="53" xfId="123" applyFont="1" applyFill="1" applyBorder="1" applyAlignment="1" applyProtection="1">
      <alignment horizontal="center"/>
      <protection locked="0"/>
    </xf>
    <xf numFmtId="175" fontId="63" fillId="59" borderId="57" xfId="124" applyNumberFormat="1" applyFont="1" applyFill="1" applyBorder="1" applyAlignment="1" applyProtection="1">
      <alignment horizontal="center"/>
      <protection locked="0"/>
    </xf>
    <xf numFmtId="175" fontId="63" fillId="59" borderId="0" xfId="124" applyNumberFormat="1" applyFont="1" applyFill="1" applyBorder="1" applyAlignment="1" applyProtection="1">
      <alignment horizontal="center"/>
      <protection locked="0"/>
    </xf>
    <xf numFmtId="175" fontId="63" fillId="59" borderId="38" xfId="124" applyNumberFormat="1" applyFont="1" applyFill="1" applyBorder="1" applyAlignment="1" applyProtection="1">
      <alignment horizontal="center"/>
      <protection locked="0"/>
    </xf>
    <xf numFmtId="0" fontId="16" fillId="63" borderId="63" xfId="123" applyFont="1" applyFill="1" applyBorder="1" applyAlignment="1" applyProtection="1">
      <alignment horizontal="center" vertical="center"/>
      <protection locked="0"/>
    </xf>
    <xf numFmtId="0" fontId="16" fillId="63" borderId="22" xfId="123" applyFont="1" applyFill="1" applyBorder="1" applyAlignment="1" applyProtection="1">
      <alignment horizontal="center" vertical="center"/>
      <protection locked="0"/>
    </xf>
    <xf numFmtId="0" fontId="16" fillId="63" borderId="60" xfId="123" applyFont="1" applyFill="1" applyBorder="1" applyAlignment="1" applyProtection="1">
      <alignment horizontal="center" vertical="center"/>
      <protection locked="0"/>
    </xf>
    <xf numFmtId="0" fontId="1" fillId="0" borderId="0" xfId="123" applyFont="1" applyBorder="1" applyAlignment="1" applyProtection="1">
      <alignment horizontal="left" vertical="top" wrapText="1"/>
      <protection locked="0"/>
    </xf>
    <xf numFmtId="0" fontId="16" fillId="63" borderId="78" xfId="123" applyFont="1" applyFill="1" applyBorder="1" applyAlignment="1" applyProtection="1">
      <alignment horizontal="center" wrapText="1"/>
      <protection locked="0"/>
    </xf>
    <xf numFmtId="0" fontId="16" fillId="63" borderId="53" xfId="123" applyFont="1" applyFill="1" applyBorder="1" applyAlignment="1" applyProtection="1">
      <alignment horizontal="center" wrapText="1"/>
      <protection locked="0"/>
    </xf>
    <xf numFmtId="0" fontId="16" fillId="63" borderId="57" xfId="123" applyFont="1" applyFill="1" applyBorder="1" applyAlignment="1" applyProtection="1">
      <alignment horizontal="center" wrapText="1"/>
      <protection locked="0"/>
    </xf>
    <xf numFmtId="0" fontId="16" fillId="63" borderId="38" xfId="123" applyFont="1" applyFill="1" applyBorder="1" applyAlignment="1" applyProtection="1">
      <alignment horizontal="center" wrapText="1"/>
      <protection locked="0"/>
    </xf>
    <xf numFmtId="175" fontId="63" fillId="59" borderId="57" xfId="124" applyNumberFormat="1" applyFont="1" applyFill="1" applyBorder="1" applyAlignment="1" applyProtection="1">
      <alignment horizontal="center" vertical="top"/>
      <protection locked="0"/>
    </xf>
    <xf numFmtId="175" fontId="63" fillId="59" borderId="0" xfId="124" applyNumberFormat="1" applyFont="1" applyFill="1" applyBorder="1" applyAlignment="1" applyProtection="1">
      <alignment horizontal="center" vertical="top"/>
      <protection locked="0"/>
    </xf>
    <xf numFmtId="175" fontId="63" fillId="59" borderId="38" xfId="124" applyNumberFormat="1" applyFont="1" applyFill="1" applyBorder="1" applyAlignment="1" applyProtection="1">
      <alignment horizontal="center" vertical="top"/>
      <protection locked="0"/>
    </xf>
    <xf numFmtId="0" fontId="16" fillId="63" borderId="57" xfId="123" applyFont="1" applyFill="1" applyBorder="1" applyAlignment="1" applyProtection="1">
      <alignment horizontal="center" vertical="top"/>
      <protection locked="0"/>
    </xf>
    <xf numFmtId="0" fontId="16" fillId="63" borderId="0" xfId="123" applyFont="1" applyFill="1" applyBorder="1" applyAlignment="1" applyProtection="1">
      <alignment horizontal="center" vertical="top"/>
      <protection locked="0"/>
    </xf>
    <xf numFmtId="0" fontId="16" fillId="63" borderId="38" xfId="123" applyFont="1" applyFill="1" applyBorder="1" applyAlignment="1" applyProtection="1">
      <alignment horizontal="center" vertical="top"/>
      <protection locked="0"/>
    </xf>
    <xf numFmtId="0" fontId="72" fillId="0" borderId="0" xfId="123" applyFont="1" applyBorder="1" applyAlignment="1" applyProtection="1">
      <alignment horizontal="center"/>
      <protection locked="0"/>
    </xf>
    <xf numFmtId="0" fontId="16" fillId="63" borderId="57" xfId="123" applyFont="1" applyFill="1" applyBorder="1" applyAlignment="1" applyProtection="1">
      <alignment horizontal="left" vertical="center"/>
      <protection locked="0"/>
    </xf>
    <xf numFmtId="0" fontId="16" fillId="63" borderId="0" xfId="123" applyFont="1" applyFill="1" applyBorder="1" applyAlignment="1" applyProtection="1">
      <alignment horizontal="left" vertical="center"/>
      <protection locked="0"/>
    </xf>
    <xf numFmtId="0" fontId="1" fillId="63" borderId="62" xfId="123" applyFont="1" applyFill="1" applyBorder="1" applyAlignment="1" applyProtection="1">
      <alignment vertical="top" wrapText="1"/>
      <protection locked="0"/>
    </xf>
    <xf numFmtId="0" fontId="1" fillId="63" borderId="21" xfId="123" applyFont="1" applyFill="1" applyBorder="1" applyAlignment="1" applyProtection="1">
      <alignment vertical="top" wrapText="1"/>
      <protection locked="0"/>
    </xf>
    <xf numFmtId="0" fontId="16" fillId="0" borderId="54" xfId="123" applyFont="1" applyBorder="1" applyAlignment="1" applyProtection="1">
      <alignment vertical="top" wrapText="1"/>
      <protection locked="0"/>
    </xf>
    <xf numFmtId="0" fontId="16" fillId="0" borderId="39" xfId="123" applyFont="1" applyBorder="1" applyAlignment="1" applyProtection="1">
      <alignment vertical="top" wrapText="1"/>
      <protection locked="0"/>
    </xf>
    <xf numFmtId="0" fontId="61" fillId="0" borderId="0" xfId="123" applyFont="1" applyBorder="1" applyAlignment="1" applyProtection="1">
      <alignment horizontal="left" vertical="top" wrapText="1"/>
      <protection locked="0"/>
    </xf>
    <xf numFmtId="0" fontId="16" fillId="0" borderId="0" xfId="123" applyFont="1" applyBorder="1" applyAlignment="1" applyProtection="1">
      <alignment horizontal="center" vertical="top" wrapText="1"/>
      <protection locked="0"/>
    </xf>
    <xf numFmtId="0" fontId="72" fillId="0" borderId="0" xfId="123" applyFont="1" applyBorder="1" applyAlignment="1" applyProtection="1">
      <alignment horizontal="center" vertical="top" wrapText="1"/>
      <protection locked="0"/>
    </xf>
    <xf numFmtId="0" fontId="63" fillId="0" borderId="0" xfId="123" applyFont="1" applyAlignment="1" applyProtection="1">
      <alignment horizontal="left" vertical="top"/>
      <protection locked="0"/>
    </xf>
    <xf numFmtId="0" fontId="19" fillId="0" borderId="0" xfId="169" applyFont="1" applyAlignment="1" applyProtection="1">
      <alignment horizontal="left" vertical="top" wrapText="1"/>
      <protection locked="0"/>
    </xf>
    <xf numFmtId="0" fontId="26" fillId="0" borderId="0" xfId="169" applyFont="1" applyAlignment="1" applyProtection="1">
      <alignment horizontal="center" vertical="center"/>
      <protection locked="0"/>
    </xf>
    <xf numFmtId="0" fontId="54" fillId="0" borderId="0" xfId="47" applyFont="1" applyFill="1" applyBorder="1" applyAlignment="1" applyProtection="1">
      <alignment horizontal="center" vertical="center" wrapText="1"/>
      <protection locked="0"/>
    </xf>
    <xf numFmtId="0" fontId="19" fillId="0" borderId="0" xfId="163" applyFont="1" applyAlignment="1" applyProtection="1">
      <alignment horizontal="left" vertical="center" wrapText="1"/>
      <protection locked="0"/>
    </xf>
    <xf numFmtId="0" fontId="18" fillId="0" borderId="0" xfId="163" applyAlignment="1" applyProtection="1">
      <alignment vertical="top" wrapText="1"/>
      <protection locked="0"/>
    </xf>
    <xf numFmtId="0" fontId="19" fillId="0" borderId="0" xfId="163" applyFont="1" applyAlignment="1" applyProtection="1">
      <alignment horizontal="left" vertical="top" wrapText="1"/>
      <protection locked="0"/>
    </xf>
    <xf numFmtId="0" fontId="18" fillId="0" borderId="0" xfId="163" applyAlignment="1" applyProtection="1">
      <alignment horizontal="left" vertical="top" wrapText="1"/>
      <protection locked="0"/>
    </xf>
    <xf numFmtId="0" fontId="26" fillId="0" borderId="0" xfId="163" applyFont="1" applyAlignment="1" applyProtection="1">
      <alignment horizontal="center"/>
      <protection locked="0"/>
    </xf>
    <xf numFmtId="0" fontId="19" fillId="0" borderId="0" xfId="177" applyFont="1" applyAlignment="1" applyProtection="1">
      <alignment horizontal="left" vertical="top" wrapText="1"/>
      <protection locked="0"/>
    </xf>
    <xf numFmtId="0" fontId="22" fillId="0" borderId="0" xfId="177" applyFont="1" applyAlignment="1" applyProtection="1">
      <alignment horizontal="left" wrapText="1"/>
      <protection locked="0"/>
    </xf>
    <xf numFmtId="0" fontId="26" fillId="0" borderId="0" xfId="177" applyFont="1" applyAlignment="1" applyProtection="1">
      <alignment horizontal="center" vertical="top"/>
      <protection locked="0"/>
    </xf>
    <xf numFmtId="0" fontId="18" fillId="0" borderId="0" xfId="177" applyAlignment="1" applyProtection="1">
      <alignment horizontal="left" wrapText="1"/>
      <protection locked="0"/>
    </xf>
    <xf numFmtId="0" fontId="18" fillId="0" borderId="0" xfId="151" applyAlignment="1" applyProtection="1">
      <alignment horizontal="left" vertical="top" wrapText="1"/>
      <protection locked="0"/>
    </xf>
    <xf numFmtId="0" fontId="19" fillId="0" borderId="0" xfId="151" applyFont="1" applyAlignment="1" applyProtection="1">
      <alignment wrapText="1"/>
      <protection locked="0"/>
    </xf>
    <xf numFmtId="0" fontId="26" fillId="0" borderId="0" xfId="151" applyFont="1" applyAlignment="1" applyProtection="1">
      <alignment horizontal="center"/>
      <protection locked="0"/>
    </xf>
    <xf numFmtId="0" fontId="18" fillId="0" borderId="0" xfId="151" applyAlignment="1" applyProtection="1">
      <alignment horizontal="left"/>
      <protection locked="0"/>
    </xf>
    <xf numFmtId="0" fontId="19" fillId="0" borderId="0" xfId="151" applyFont="1" applyAlignment="1" applyProtection="1">
      <alignment horizontal="left"/>
      <protection locked="0"/>
    </xf>
    <xf numFmtId="0" fontId="22" fillId="0" borderId="63" xfId="151" applyFont="1" applyBorder="1" applyAlignment="1" applyProtection="1">
      <alignment horizontal="left"/>
      <protection locked="0"/>
    </xf>
    <xf numFmtId="0" fontId="22" fillId="0" borderId="42" xfId="151" applyFont="1" applyBorder="1" applyAlignment="1" applyProtection="1">
      <alignment horizontal="left"/>
      <protection locked="0"/>
    </xf>
    <xf numFmtId="0" fontId="22" fillId="0" borderId="98" xfId="151" applyFont="1" applyBorder="1" applyAlignment="1" applyProtection="1">
      <alignment horizontal="left"/>
      <protection locked="0"/>
    </xf>
    <xf numFmtId="0" fontId="22" fillId="0" borderId="89" xfId="151" applyFont="1" applyBorder="1" applyAlignment="1" applyProtection="1">
      <alignment horizontal="left"/>
      <protection locked="0"/>
    </xf>
    <xf numFmtId="0" fontId="22" fillId="0" borderId="62" xfId="151" applyFont="1" applyBorder="1" applyAlignment="1" applyProtection="1">
      <alignment horizontal="left"/>
      <protection locked="0"/>
    </xf>
    <xf numFmtId="0" fontId="22" fillId="0" borderId="25" xfId="151" applyFont="1" applyBorder="1" applyAlignment="1" applyProtection="1">
      <alignment horizontal="left"/>
      <protection locked="0"/>
    </xf>
    <xf numFmtId="0" fontId="22" fillId="0" borderId="63" xfId="151" applyFont="1" applyBorder="1" applyAlignment="1" applyProtection="1">
      <alignment horizontal="left" vertical="top" wrapText="1"/>
      <protection locked="0"/>
    </xf>
    <xf numFmtId="0" fontId="22" fillId="0" borderId="42" xfId="151" applyFont="1" applyBorder="1" applyAlignment="1" applyProtection="1">
      <alignment horizontal="left" vertical="top" wrapText="1"/>
      <protection locked="0"/>
    </xf>
    <xf numFmtId="0" fontId="57" fillId="0" borderId="94" xfId="151" applyFont="1" applyBorder="1" applyAlignment="1" applyProtection="1">
      <alignment horizontal="left" vertical="center"/>
      <protection locked="0"/>
    </xf>
    <xf numFmtId="0" fontId="57" fillId="0" borderId="32" xfId="151" applyFont="1" applyBorder="1" applyAlignment="1" applyProtection="1">
      <alignment horizontal="left" vertical="center"/>
      <protection locked="0"/>
    </xf>
    <xf numFmtId="0" fontId="70" fillId="0" borderId="0" xfId="47" applyFont="1" applyAlignment="1" applyProtection="1">
      <alignment horizontal="center"/>
      <protection locked="0"/>
    </xf>
    <xf numFmtId="0" fontId="70" fillId="0" borderId="0" xfId="47" applyFont="1" applyFill="1" applyAlignment="1" applyProtection="1">
      <alignment horizontal="center" vertical="center"/>
      <protection locked="0"/>
    </xf>
    <xf numFmtId="0" fontId="70" fillId="0" borderId="0" xfId="47" applyFont="1" applyAlignment="1" applyProtection="1">
      <alignment horizontal="center" vertical="center"/>
      <protection locked="0"/>
    </xf>
    <xf numFmtId="0" fontId="70" fillId="0" borderId="0" xfId="47" applyFont="1" applyBorder="1" applyAlignment="1" applyProtection="1">
      <alignment horizontal="right" wrapText="1"/>
      <protection locked="0"/>
    </xf>
    <xf numFmtId="0" fontId="21" fillId="0" borderId="21" xfId="47" applyFont="1" applyBorder="1" applyAlignment="1" applyProtection="1">
      <alignment wrapText="1"/>
      <protection locked="0"/>
    </xf>
    <xf numFmtId="0" fontId="70" fillId="0" borderId="21" xfId="47" applyFont="1" applyBorder="1" applyAlignment="1" applyProtection="1">
      <alignment horizontal="center" vertical="center"/>
      <protection locked="0"/>
    </xf>
    <xf numFmtId="0" fontId="78" fillId="59" borderId="0" xfId="185" applyFont="1" applyFill="1" applyAlignment="1" applyProtection="1">
      <alignment horizontal="center"/>
      <protection locked="0"/>
    </xf>
    <xf numFmtId="0" fontId="19" fillId="59" borderId="0" xfId="47" applyFill="1" applyAlignment="1" applyProtection="1">
      <protection locked="0"/>
    </xf>
    <xf numFmtId="0" fontId="19" fillId="0" borderId="0" xfId="47" applyAlignment="1" applyProtection="1">
      <protection locked="0"/>
    </xf>
    <xf numFmtId="0" fontId="25" fillId="0" borderId="0" xfId="47" applyFont="1" applyBorder="1" applyAlignment="1" applyProtection="1">
      <alignment horizontal="left"/>
      <protection locked="0"/>
    </xf>
    <xf numFmtId="0" fontId="19" fillId="0" borderId="37" xfId="180" applyFont="1" applyFill="1" applyBorder="1" applyAlignment="1" applyProtection="1">
      <alignment vertical="center" wrapText="1"/>
      <protection locked="0"/>
    </xf>
    <xf numFmtId="0" fontId="19" fillId="0" borderId="35" xfId="180" applyFont="1" applyFill="1" applyBorder="1" applyAlignment="1" applyProtection="1">
      <alignment vertical="center" wrapText="1"/>
      <protection locked="0"/>
    </xf>
    <xf numFmtId="0" fontId="18" fillId="0" borderId="0" xfId="180" applyAlignment="1" applyProtection="1">
      <alignment horizontal="left" vertical="top" wrapText="1"/>
      <protection locked="0"/>
    </xf>
    <xf numFmtId="0" fontId="18" fillId="0" borderId="36" xfId="180" applyBorder="1" applyAlignment="1" applyProtection="1">
      <alignment horizontal="left" vertical="center" wrapText="1"/>
      <protection locked="0"/>
    </xf>
    <xf numFmtId="0" fontId="18" fillId="0" borderId="19" xfId="180" applyBorder="1" applyAlignment="1" applyProtection="1">
      <alignment horizontal="left" vertical="center" wrapText="1"/>
      <protection locked="0"/>
    </xf>
    <xf numFmtId="0" fontId="19" fillId="0" borderId="0" xfId="180" applyFont="1" applyAlignment="1" applyProtection="1">
      <alignment horizontal="left" vertical="center" wrapText="1"/>
      <protection locked="0"/>
    </xf>
    <xf numFmtId="0" fontId="22" fillId="0" borderId="41" xfId="180" applyFont="1" applyFill="1" applyBorder="1" applyAlignment="1" applyProtection="1">
      <alignment vertical="top" wrapText="1"/>
      <protection locked="0"/>
    </xf>
    <xf numFmtId="0" fontId="22" fillId="0" borderId="33" xfId="180" applyFont="1" applyFill="1" applyBorder="1" applyAlignment="1" applyProtection="1">
      <alignment vertical="top" wrapText="1"/>
      <protection locked="0"/>
    </xf>
    <xf numFmtId="0" fontId="22" fillId="0" borderId="36" xfId="180" applyFont="1" applyFill="1" applyBorder="1" applyAlignment="1" applyProtection="1">
      <alignment vertical="top" wrapText="1"/>
      <protection locked="0"/>
    </xf>
    <xf numFmtId="0" fontId="22" fillId="0" borderId="19" xfId="180" applyFont="1" applyFill="1" applyBorder="1" applyAlignment="1" applyProtection="1">
      <alignment vertical="top" wrapText="1"/>
      <protection locked="0"/>
    </xf>
    <xf numFmtId="0" fontId="22" fillId="0" borderId="33" xfId="180" applyFont="1" applyFill="1" applyBorder="1" applyAlignment="1" applyProtection="1">
      <alignment horizontal="center"/>
      <protection locked="0"/>
    </xf>
    <xf numFmtId="0" fontId="22" fillId="0" borderId="82" xfId="180" applyFont="1" applyFill="1" applyBorder="1" applyAlignment="1" applyProtection="1">
      <alignment horizontal="center" vertical="center" wrapText="1"/>
      <protection locked="0"/>
    </xf>
    <xf numFmtId="0" fontId="18" fillId="0" borderId="72" xfId="180" applyFill="1" applyBorder="1" applyAlignment="1" applyProtection="1">
      <alignment horizontal="center" vertical="center" wrapText="1"/>
      <protection locked="0"/>
    </xf>
    <xf numFmtId="0" fontId="18" fillId="0" borderId="63" xfId="180" applyBorder="1" applyAlignment="1" applyProtection="1">
      <alignment horizontal="left" vertical="top" wrapText="1"/>
      <protection locked="0"/>
    </xf>
    <xf numFmtId="0" fontId="18" fillId="0" borderId="42" xfId="180" applyBorder="1" applyAlignment="1" applyProtection="1">
      <alignment horizontal="left" vertical="top" wrapText="1"/>
      <protection locked="0"/>
    </xf>
    <xf numFmtId="0" fontId="18" fillId="0" borderId="63" xfId="180" applyBorder="1" applyAlignment="1" applyProtection="1">
      <alignment horizontal="left"/>
      <protection locked="0"/>
    </xf>
    <xf numFmtId="0" fontId="18" fillId="0" borderId="42" xfId="180" applyBorder="1" applyAlignment="1" applyProtection="1">
      <alignment horizontal="left"/>
      <protection locked="0"/>
    </xf>
    <xf numFmtId="0" fontId="18" fillId="0" borderId="63" xfId="180" applyBorder="1" applyAlignment="1" applyProtection="1">
      <alignment vertical="top" wrapText="1"/>
      <protection locked="0"/>
    </xf>
    <xf numFmtId="0" fontId="18" fillId="0" borderId="42" xfId="180" applyBorder="1" applyAlignment="1" applyProtection="1">
      <alignment vertical="top" wrapText="1"/>
      <protection locked="0"/>
    </xf>
    <xf numFmtId="0" fontId="19" fillId="0" borderId="0" xfId="180" applyFont="1" applyAlignment="1" applyProtection="1">
      <alignment horizontal="left" vertical="top" wrapText="1"/>
      <protection locked="0"/>
    </xf>
    <xf numFmtId="0" fontId="19" fillId="0" borderId="98" xfId="180" applyFont="1" applyFill="1" applyBorder="1" applyAlignment="1" applyProtection="1">
      <alignment horizontal="left" vertical="top" wrapText="1"/>
      <protection locked="0"/>
    </xf>
    <xf numFmtId="0" fontId="19" fillId="0" borderId="89" xfId="180" applyFont="1" applyFill="1" applyBorder="1" applyAlignment="1" applyProtection="1">
      <alignment horizontal="left" vertical="top" wrapText="1"/>
      <protection locked="0"/>
    </xf>
    <xf numFmtId="0" fontId="22" fillId="0" borderId="41" xfId="180" applyFont="1" applyFill="1" applyBorder="1" applyAlignment="1" applyProtection="1">
      <alignment horizontal="left" vertical="center" wrapText="1"/>
      <protection locked="0"/>
    </xf>
    <xf numFmtId="0" fontId="22" fillId="0" borderId="33" xfId="180" applyFont="1" applyFill="1" applyBorder="1" applyAlignment="1" applyProtection="1">
      <alignment horizontal="left" vertical="center" wrapText="1"/>
      <protection locked="0"/>
    </xf>
    <xf numFmtId="0" fontId="22" fillId="0" borderId="36" xfId="180" applyFont="1" applyFill="1" applyBorder="1" applyAlignment="1" applyProtection="1">
      <alignment horizontal="left" vertical="center" wrapText="1"/>
      <protection locked="0"/>
    </xf>
    <xf numFmtId="0" fontId="22" fillId="0" borderId="19" xfId="180" applyFont="1" applyFill="1" applyBorder="1" applyAlignment="1" applyProtection="1">
      <alignment horizontal="left" vertical="center" wrapText="1"/>
      <protection locked="0"/>
    </xf>
    <xf numFmtId="0" fontId="18" fillId="0" borderId="75" xfId="180" applyFill="1" applyBorder="1" applyAlignment="1" applyProtection="1">
      <alignment vertical="center" wrapText="1"/>
      <protection locked="0"/>
    </xf>
    <xf numFmtId="0" fontId="18" fillId="0" borderId="72" xfId="180" applyFill="1" applyBorder="1" applyAlignment="1" applyProtection="1">
      <alignment vertical="center" wrapText="1"/>
      <protection locked="0"/>
    </xf>
    <xf numFmtId="0" fontId="22" fillId="0" borderId="19" xfId="180" applyFont="1" applyFill="1" applyBorder="1" applyAlignment="1" applyProtection="1">
      <alignment horizontal="center" vertical="center" wrapText="1"/>
      <protection locked="0"/>
    </xf>
    <xf numFmtId="0" fontId="18" fillId="0" borderId="19" xfId="180" applyFill="1" applyBorder="1" applyAlignment="1" applyProtection="1">
      <alignment horizontal="center" vertical="center" wrapText="1"/>
      <protection locked="0"/>
    </xf>
    <xf numFmtId="0" fontId="22" fillId="0" borderId="63" xfId="180" applyFont="1" applyFill="1" applyBorder="1" applyAlignment="1" applyProtection="1">
      <alignment horizontal="left" vertical="center" wrapText="1"/>
      <protection locked="0"/>
    </xf>
    <xf numFmtId="0" fontId="22" fillId="0" borderId="42" xfId="180" applyFont="1" applyFill="1" applyBorder="1" applyAlignment="1" applyProtection="1">
      <alignment horizontal="left" vertical="center" wrapText="1"/>
      <protection locked="0"/>
    </xf>
    <xf numFmtId="0" fontId="18" fillId="0" borderId="36" xfId="180" applyFill="1" applyBorder="1" applyAlignment="1" applyProtection="1">
      <alignment horizontal="left" vertical="center" wrapText="1"/>
      <protection locked="0"/>
    </xf>
    <xf numFmtId="0" fontId="18" fillId="0" borderId="19" xfId="180" applyFill="1" applyBorder="1" applyAlignment="1" applyProtection="1">
      <alignment horizontal="left" vertical="center" wrapText="1"/>
      <protection locked="0"/>
    </xf>
    <xf numFmtId="0" fontId="19" fillId="0" borderId="97" xfId="180" applyFont="1" applyBorder="1" applyAlignment="1" applyProtection="1">
      <alignment horizontal="left" vertical="center" wrapText="1"/>
      <protection locked="0"/>
    </xf>
    <xf numFmtId="0" fontId="19" fillId="0" borderId="26" xfId="180" applyFont="1" applyBorder="1" applyAlignment="1" applyProtection="1">
      <alignment horizontal="left" vertical="center" wrapText="1"/>
      <protection locked="0"/>
    </xf>
    <xf numFmtId="0" fontId="22" fillId="0" borderId="101" xfId="180" applyFont="1" applyBorder="1" applyAlignment="1" applyProtection="1">
      <alignment horizontal="left"/>
      <protection locked="0"/>
    </xf>
    <xf numFmtId="0" fontId="22" fillId="0" borderId="91" xfId="180" applyFont="1" applyBorder="1" applyAlignment="1" applyProtection="1">
      <alignment horizontal="left"/>
      <protection locked="0"/>
    </xf>
    <xf numFmtId="0" fontId="19" fillId="0" borderId="0" xfId="180" applyFont="1" applyFill="1" applyAlignment="1" applyProtection="1">
      <alignment horizontal="left" vertical="top"/>
      <protection locked="0"/>
    </xf>
    <xf numFmtId="0" fontId="22" fillId="0" borderId="0" xfId="180" applyFont="1" applyAlignment="1" applyProtection="1">
      <alignment horizontal="left" wrapText="1"/>
      <protection locked="0"/>
    </xf>
    <xf numFmtId="0" fontId="22" fillId="0" borderId="100" xfId="180" applyFont="1" applyFill="1" applyBorder="1" applyAlignment="1" applyProtection="1">
      <alignment horizontal="left"/>
      <protection locked="0"/>
    </xf>
    <xf numFmtId="0" fontId="22" fillId="0" borderId="81" xfId="180" applyFont="1" applyFill="1" applyBorder="1" applyAlignment="1" applyProtection="1">
      <alignment horizontal="left"/>
      <protection locked="0"/>
    </xf>
    <xf numFmtId="0" fontId="22" fillId="0" borderId="28" xfId="180" applyFont="1" applyFill="1" applyBorder="1" applyAlignment="1" applyProtection="1">
      <alignment horizontal="center" vertical="center" wrapText="1"/>
      <protection locked="0"/>
    </xf>
    <xf numFmtId="0" fontId="22" fillId="0" borderId="72" xfId="180" applyFont="1" applyFill="1" applyBorder="1" applyAlignment="1" applyProtection="1">
      <alignment horizontal="center" vertical="center" wrapText="1"/>
      <protection locked="0"/>
    </xf>
    <xf numFmtId="0" fontId="22" fillId="0" borderId="34" xfId="180" applyFont="1" applyFill="1" applyBorder="1" applyAlignment="1" applyProtection="1">
      <alignment horizontal="center" vertical="center" wrapText="1"/>
      <protection locked="0"/>
    </xf>
    <xf numFmtId="0" fontId="22" fillId="0" borderId="84" xfId="180" applyFont="1" applyFill="1" applyBorder="1" applyAlignment="1" applyProtection="1">
      <alignment vertical="top" wrapText="1"/>
      <protection locked="0"/>
    </xf>
    <xf numFmtId="0" fontId="22" fillId="0" borderId="28" xfId="180" applyFont="1" applyFill="1" applyBorder="1" applyAlignment="1" applyProtection="1">
      <alignment vertical="top" wrapText="1"/>
      <protection locked="0"/>
    </xf>
    <xf numFmtId="0" fontId="22" fillId="0" borderId="0" xfId="180" applyFont="1" applyFill="1" applyAlignment="1" applyProtection="1">
      <alignment horizontal="left" vertical="center" wrapText="1"/>
      <protection locked="0"/>
    </xf>
    <xf numFmtId="0" fontId="19" fillId="0" borderId="0" xfId="180" applyFont="1" applyFill="1" applyAlignment="1" applyProtection="1">
      <alignment horizontal="left" vertical="top" wrapText="1"/>
      <protection locked="0"/>
    </xf>
    <xf numFmtId="0" fontId="26" fillId="0" borderId="0" xfId="180" applyFont="1" applyAlignment="1" applyProtection="1">
      <alignment horizontal="center"/>
      <protection locked="0"/>
    </xf>
    <xf numFmtId="0" fontId="22" fillId="0" borderId="0" xfId="47" applyFont="1" applyFill="1" applyAlignment="1" applyProtection="1">
      <alignment horizontal="left" vertical="center" wrapText="1"/>
      <protection locked="0"/>
    </xf>
    <xf numFmtId="0" fontId="19" fillId="0" borderId="0" xfId="47" applyFont="1" applyFill="1" applyAlignment="1" applyProtection="1">
      <alignment horizontal="left" vertical="top" wrapText="1"/>
      <protection locked="0"/>
    </xf>
    <xf numFmtId="0" fontId="22" fillId="0" borderId="58" xfId="47" applyFont="1" applyBorder="1" applyAlignment="1" applyProtection="1">
      <alignment horizontal="center"/>
      <protection locked="0"/>
    </xf>
    <xf numFmtId="0" fontId="22" fillId="0" borderId="125" xfId="47" applyFont="1" applyBorder="1" applyAlignment="1" applyProtection="1">
      <alignment horizontal="center"/>
      <protection locked="0"/>
    </xf>
    <xf numFmtId="0" fontId="19" fillId="0" borderId="97" xfId="47" applyFont="1" applyBorder="1" applyAlignment="1" applyProtection="1">
      <alignment wrapText="1"/>
      <protection locked="0"/>
    </xf>
    <xf numFmtId="0" fontId="19" fillId="0" borderId="47" xfId="47" applyFont="1" applyBorder="1" applyAlignment="1" applyProtection="1">
      <alignment wrapText="1"/>
      <protection locked="0"/>
    </xf>
    <xf numFmtId="0" fontId="19" fillId="0" borderId="0" xfId="189" applyFont="1" applyAlignment="1" applyProtection="1">
      <alignment vertical="top" wrapText="1"/>
      <protection locked="0"/>
    </xf>
    <xf numFmtId="0" fontId="19" fillId="0" borderId="0" xfId="189" applyFont="1" applyAlignment="1" applyProtection="1">
      <alignment horizontal="left"/>
      <protection locked="0"/>
    </xf>
    <xf numFmtId="0" fontId="45" fillId="0" borderId="0" xfId="189" applyFont="1" applyAlignment="1" applyProtection="1">
      <alignment horizontal="left"/>
      <protection locked="0"/>
    </xf>
    <xf numFmtId="0" fontId="46" fillId="57" borderId="83" xfId="189" applyFont="1" applyFill="1" applyBorder="1" applyAlignment="1" applyProtection="1">
      <alignment horizontal="left"/>
      <protection locked="0"/>
    </xf>
    <xf numFmtId="0" fontId="46" fillId="57" borderId="22" xfId="189" applyFont="1" applyFill="1" applyBorder="1" applyAlignment="1" applyProtection="1">
      <alignment horizontal="left"/>
      <protection locked="0"/>
    </xf>
    <xf numFmtId="0" fontId="46" fillId="57" borderId="60" xfId="189" applyFont="1" applyFill="1" applyBorder="1" applyAlignment="1" applyProtection="1">
      <alignment horizontal="left"/>
      <protection locked="0"/>
    </xf>
    <xf numFmtId="0" fontId="46" fillId="57" borderId="83" xfId="189" applyFont="1" applyFill="1" applyBorder="1" applyAlignment="1" applyProtection="1">
      <alignment horizontal="left" vertical="top" wrapText="1"/>
      <protection locked="0"/>
    </xf>
    <xf numFmtId="0" fontId="46" fillId="57" borderId="22" xfId="189" applyFont="1" applyFill="1" applyBorder="1" applyAlignment="1" applyProtection="1">
      <alignment horizontal="left" vertical="top" wrapText="1"/>
      <protection locked="0"/>
    </xf>
    <xf numFmtId="0" fontId="46" fillId="57" borderId="60" xfId="189" applyFont="1" applyFill="1" applyBorder="1" applyAlignment="1" applyProtection="1">
      <alignment horizontal="left" vertical="top" wrapText="1"/>
      <protection locked="0"/>
    </xf>
    <xf numFmtId="0" fontId="26" fillId="0" borderId="0" xfId="189" applyFont="1" applyAlignment="1" applyProtection="1">
      <alignment horizontal="center"/>
      <protection locked="0"/>
    </xf>
    <xf numFmtId="0" fontId="25" fillId="0" borderId="0" xfId="189" applyFont="1" applyAlignment="1" applyProtection="1">
      <alignment horizontal="center"/>
      <protection locked="0"/>
    </xf>
    <xf numFmtId="0" fontId="18" fillId="0" borderId="41" xfId="189" applyFill="1" applyBorder="1" applyAlignment="1" applyProtection="1">
      <alignment horizontal="center"/>
      <protection locked="0"/>
    </xf>
    <xf numFmtId="0" fontId="18" fillId="0" borderId="33" xfId="189" applyFill="1" applyBorder="1" applyAlignment="1" applyProtection="1">
      <alignment horizontal="center"/>
      <protection locked="0"/>
    </xf>
    <xf numFmtId="0" fontId="18" fillId="0" borderId="36" xfId="189" applyFill="1" applyBorder="1" applyAlignment="1" applyProtection="1">
      <alignment horizontal="center"/>
      <protection locked="0"/>
    </xf>
    <xf numFmtId="0" fontId="18" fillId="0" borderId="19" xfId="189" applyFill="1" applyBorder="1" applyAlignment="1" applyProtection="1">
      <alignment horizontal="center"/>
      <protection locked="0"/>
    </xf>
    <xf numFmtId="0" fontId="22" fillId="0" borderId="87" xfId="189" applyFont="1" applyFill="1" applyBorder="1" applyAlignment="1" applyProtection="1">
      <alignment horizontal="center"/>
      <protection locked="0"/>
    </xf>
    <xf numFmtId="0" fontId="22" fillId="0" borderId="95" xfId="189" applyFont="1" applyFill="1" applyBorder="1" applyAlignment="1" applyProtection="1">
      <alignment horizontal="center"/>
      <protection locked="0"/>
    </xf>
    <xf numFmtId="0" fontId="22" fillId="0" borderId="59" xfId="189" applyFont="1" applyFill="1" applyBorder="1" applyAlignment="1" applyProtection="1">
      <alignment horizontal="center"/>
      <protection locked="0"/>
    </xf>
    <xf numFmtId="0" fontId="22" fillId="0" borderId="82" xfId="189" applyFont="1" applyFill="1" applyBorder="1" applyAlignment="1" applyProtection="1">
      <alignment horizontal="center" vertical="center" wrapText="1"/>
      <protection locked="0"/>
    </xf>
    <xf numFmtId="0" fontId="18" fillId="0" borderId="72" xfId="189" applyFill="1" applyBorder="1" applyAlignment="1" applyProtection="1">
      <alignment horizontal="center" vertical="center" wrapText="1"/>
      <protection locked="0"/>
    </xf>
    <xf numFmtId="0" fontId="19" fillId="0" borderId="57" xfId="47" applyBorder="1" applyAlignment="1" applyProtection="1">
      <alignment horizontal="left" vertical="center" wrapText="1"/>
      <protection locked="0"/>
    </xf>
    <xf numFmtId="0" fontId="19" fillId="0" borderId="0" xfId="47" applyBorder="1" applyAlignment="1" applyProtection="1">
      <alignment horizontal="left" vertical="center" wrapText="1"/>
      <protection locked="0"/>
    </xf>
    <xf numFmtId="0" fontId="19" fillId="0" borderId="24" xfId="47" applyBorder="1" applyAlignment="1" applyProtection="1">
      <alignment horizontal="left" vertical="center" wrapText="1"/>
      <protection locked="0"/>
    </xf>
    <xf numFmtId="0" fontId="19" fillId="0" borderId="0" xfId="47" applyAlignment="1" applyProtection="1">
      <alignment horizontal="center"/>
      <protection locked="0"/>
    </xf>
    <xf numFmtId="0" fontId="22" fillId="0" borderId="41" xfId="47" applyFont="1" applyFill="1" applyBorder="1" applyAlignment="1" applyProtection="1">
      <alignment vertical="center" wrapText="1"/>
      <protection locked="0"/>
    </xf>
    <xf numFmtId="0" fontId="22" fillId="0" borderId="33" xfId="47" applyFont="1" applyFill="1" applyBorder="1" applyAlignment="1" applyProtection="1">
      <alignment vertical="center" wrapText="1"/>
      <protection locked="0"/>
    </xf>
    <xf numFmtId="0" fontId="22" fillId="0" borderId="36" xfId="47" applyFont="1" applyFill="1" applyBorder="1" applyAlignment="1" applyProtection="1">
      <alignment vertical="center" wrapText="1"/>
      <protection locked="0"/>
    </xf>
    <xf numFmtId="0" fontId="22" fillId="0" borderId="19" xfId="47" applyFont="1" applyFill="1" applyBorder="1" applyAlignment="1" applyProtection="1">
      <alignment vertical="center" wrapText="1"/>
      <protection locked="0"/>
    </xf>
    <xf numFmtId="0" fontId="22" fillId="64" borderId="51" xfId="47" applyFont="1" applyFill="1" applyBorder="1" applyAlignment="1" applyProtection="1">
      <alignment horizontal="center" wrapText="1"/>
      <protection locked="0"/>
    </xf>
    <xf numFmtId="0" fontId="19" fillId="64" borderId="49" xfId="47" applyFill="1" applyBorder="1" applyAlignment="1" applyProtection="1">
      <alignment horizontal="center" wrapText="1"/>
      <protection locked="0"/>
    </xf>
    <xf numFmtId="0" fontId="19" fillId="64" borderId="99" xfId="47" applyFill="1" applyBorder="1" applyAlignment="1" applyProtection="1">
      <alignment horizontal="center" wrapText="1"/>
      <protection locked="0"/>
    </xf>
    <xf numFmtId="0" fontId="22" fillId="64" borderId="51" xfId="47" applyFont="1" applyFill="1" applyBorder="1" applyAlignment="1" applyProtection="1">
      <alignment horizontal="center" vertical="center"/>
      <protection locked="0"/>
    </xf>
    <xf numFmtId="0" fontId="22" fillId="64" borderId="49" xfId="47" applyFont="1" applyFill="1" applyBorder="1" applyAlignment="1" applyProtection="1">
      <alignment horizontal="center" vertical="center"/>
      <protection locked="0"/>
    </xf>
    <xf numFmtId="0" fontId="22" fillId="64" borderId="51" xfId="47" applyFont="1" applyFill="1" applyBorder="1" applyAlignment="1" applyProtection="1">
      <alignment horizontal="center" vertical="center" wrapText="1"/>
      <protection locked="0"/>
    </xf>
    <xf numFmtId="0" fontId="22" fillId="64" borderId="49" xfId="47" applyFont="1" applyFill="1" applyBorder="1" applyAlignment="1" applyProtection="1">
      <alignment horizontal="center" vertical="center" wrapText="1"/>
      <protection locked="0"/>
    </xf>
    <xf numFmtId="0" fontId="22" fillId="64" borderId="99" xfId="47" applyFont="1" applyFill="1" applyBorder="1" applyAlignment="1" applyProtection="1">
      <alignment horizontal="center" vertical="center" wrapText="1"/>
      <protection locked="0"/>
    </xf>
    <xf numFmtId="0" fontId="22" fillId="64" borderId="49" xfId="47" applyFont="1" applyFill="1" applyBorder="1" applyAlignment="1" applyProtection="1">
      <alignment horizontal="center" wrapText="1"/>
      <protection locked="0"/>
    </xf>
    <xf numFmtId="0" fontId="22" fillId="64" borderId="99" xfId="47" applyFont="1" applyFill="1" applyBorder="1" applyAlignment="1" applyProtection="1">
      <alignment horizontal="center" wrapText="1"/>
      <protection locked="0"/>
    </xf>
    <xf numFmtId="0" fontId="22" fillId="0" borderId="54" xfId="47" applyFont="1" applyBorder="1" applyAlignment="1" applyProtection="1">
      <alignment horizontal="left" wrapText="1"/>
      <protection locked="0"/>
    </xf>
    <xf numFmtId="0" fontId="22" fillId="0" borderId="39" xfId="47" applyFont="1" applyBorder="1" applyAlignment="1" applyProtection="1">
      <alignment horizontal="left" wrapText="1"/>
      <protection locked="0"/>
    </xf>
    <xf numFmtId="0" fontId="22" fillId="0" borderId="48" xfId="47" applyFont="1" applyBorder="1" applyAlignment="1" applyProtection="1">
      <alignment horizontal="left" wrapText="1"/>
      <protection locked="0"/>
    </xf>
    <xf numFmtId="0" fontId="19" fillId="0" borderId="63" xfId="47" applyBorder="1" applyAlignment="1" applyProtection="1">
      <alignment horizontal="left" vertical="center" wrapText="1"/>
      <protection locked="0"/>
    </xf>
    <xf numFmtId="0" fontId="19" fillId="0" borderId="22" xfId="47" applyBorder="1" applyAlignment="1" applyProtection="1">
      <alignment horizontal="left" vertical="center" wrapText="1"/>
      <protection locked="0"/>
    </xf>
    <xf numFmtId="0" fontId="19" fillId="0" borderId="42" xfId="47" applyBorder="1" applyAlignment="1" applyProtection="1">
      <alignment horizontal="left" vertical="center" wrapText="1"/>
      <protection locked="0"/>
    </xf>
    <xf numFmtId="0" fontId="19" fillId="0" borderId="96" xfId="47" applyBorder="1" applyAlignment="1" applyProtection="1">
      <alignment horizontal="left" vertical="center" wrapText="1"/>
      <protection locked="0"/>
    </xf>
    <xf numFmtId="0" fontId="19" fillId="0" borderId="90" xfId="47" applyBorder="1" applyAlignment="1" applyProtection="1">
      <alignment horizontal="left" vertical="center" wrapText="1"/>
      <protection locked="0"/>
    </xf>
    <xf numFmtId="0" fontId="19" fillId="0" borderId="27" xfId="47" applyBorder="1" applyAlignment="1" applyProtection="1">
      <alignment horizontal="left" vertical="center" wrapText="1"/>
      <protection locked="0"/>
    </xf>
    <xf numFmtId="0" fontId="19" fillId="0" borderId="57" xfId="47" applyBorder="1" applyAlignment="1" applyProtection="1">
      <alignment horizontal="left" wrapText="1"/>
      <protection locked="0"/>
    </xf>
    <xf numFmtId="0" fontId="19" fillId="0" borderId="0" xfId="47" applyBorder="1" applyAlignment="1" applyProtection="1">
      <alignment horizontal="left" wrapText="1"/>
      <protection locked="0"/>
    </xf>
    <xf numFmtId="0" fontId="19" fillId="0" borderId="24" xfId="47" applyBorder="1" applyAlignment="1" applyProtection="1">
      <alignment horizontal="left" wrapText="1"/>
      <protection locked="0"/>
    </xf>
    <xf numFmtId="0" fontId="19" fillId="0" borderId="96" xfId="47" applyBorder="1" applyAlignment="1" applyProtection="1">
      <alignment horizontal="left" wrapText="1"/>
      <protection locked="0"/>
    </xf>
    <xf numFmtId="0" fontId="19" fillId="0" borderId="90" xfId="47" applyBorder="1" applyAlignment="1" applyProtection="1">
      <alignment horizontal="left" wrapText="1"/>
      <protection locked="0"/>
    </xf>
    <xf numFmtId="0" fontId="19" fillId="0" borderId="27" xfId="47" applyBorder="1" applyAlignment="1" applyProtection="1">
      <alignment horizontal="left" wrapText="1"/>
      <protection locked="0"/>
    </xf>
    <xf numFmtId="0" fontId="19" fillId="0" borderId="63" xfId="47" applyBorder="1" applyAlignment="1" applyProtection="1">
      <alignment horizontal="left" wrapText="1"/>
      <protection locked="0"/>
    </xf>
    <xf numFmtId="0" fontId="19" fillId="0" borderId="22" xfId="47" applyBorder="1" applyAlignment="1" applyProtection="1">
      <alignment horizontal="left" wrapText="1"/>
      <protection locked="0"/>
    </xf>
    <xf numFmtId="0" fontId="19" fillId="0" borderId="42" xfId="47" applyBorder="1" applyAlignment="1" applyProtection="1">
      <alignment horizontal="left" wrapText="1"/>
      <protection locked="0"/>
    </xf>
    <xf numFmtId="0" fontId="19" fillId="59" borderId="67" xfId="47" applyFill="1" applyBorder="1" applyAlignment="1" applyProtection="1">
      <alignment horizontal="left" wrapText="1"/>
      <protection locked="0"/>
    </xf>
    <xf numFmtId="0" fontId="19" fillId="59" borderId="23" xfId="47" applyFill="1" applyBorder="1" applyAlignment="1" applyProtection="1">
      <alignment horizontal="left" wrapText="1"/>
      <protection locked="0"/>
    </xf>
    <xf numFmtId="0" fontId="19" fillId="59" borderId="93" xfId="47" applyFill="1" applyBorder="1" applyAlignment="1" applyProtection="1">
      <alignment horizontal="left" wrapText="1"/>
      <protection locked="0"/>
    </xf>
    <xf numFmtId="0" fontId="19" fillId="0" borderId="0" xfId="47" applyFont="1" applyAlignment="1" applyProtection="1">
      <alignment horizontal="left" wrapText="1"/>
      <protection locked="0"/>
    </xf>
    <xf numFmtId="0" fontId="22" fillId="0" borderId="0" xfId="47" applyFont="1" applyAlignment="1" applyProtection="1">
      <alignment horizontal="center" vertical="top" wrapText="1"/>
      <protection locked="0"/>
    </xf>
    <xf numFmtId="0" fontId="19" fillId="0" borderId="0" xfId="47" applyFont="1" applyAlignment="1" applyProtection="1">
      <alignment vertical="top" wrapText="1"/>
      <protection locked="0"/>
    </xf>
    <xf numFmtId="0" fontId="19" fillId="0" borderId="0" xfId="47" applyFont="1" applyAlignment="1" applyProtection="1">
      <alignment wrapText="1"/>
      <protection locked="0"/>
    </xf>
    <xf numFmtId="0" fontId="22" fillId="0" borderId="0" xfId="47" applyFont="1" applyAlignment="1" applyProtection="1">
      <alignment horizontal="center" vertical="top"/>
      <protection locked="0"/>
    </xf>
    <xf numFmtId="0" fontId="19" fillId="0" borderId="0" xfId="194" applyFont="1" applyAlignment="1" applyProtection="1">
      <alignment horizontal="left" vertical="center" wrapText="1"/>
      <protection locked="0"/>
    </xf>
    <xf numFmtId="0" fontId="26" fillId="0" borderId="0" xfId="194" applyFont="1" applyAlignment="1" applyProtection="1">
      <alignment horizontal="center"/>
      <protection locked="0"/>
    </xf>
    <xf numFmtId="0" fontId="22" fillId="0" borderId="51" xfId="194" applyFont="1" applyFill="1" applyBorder="1" applyAlignment="1" applyProtection="1">
      <alignment horizontal="center" vertical="center" wrapText="1"/>
      <protection locked="0"/>
    </xf>
    <xf numFmtId="0" fontId="22" fillId="0" borderId="50" xfId="194" applyFont="1" applyFill="1" applyBorder="1" applyAlignment="1" applyProtection="1">
      <alignment horizontal="center" vertical="center" wrapText="1"/>
      <protection locked="0"/>
    </xf>
    <xf numFmtId="0" fontId="22" fillId="0" borderId="73" xfId="194" applyFont="1" applyFill="1" applyBorder="1" applyAlignment="1" applyProtection="1">
      <alignment horizontal="center" vertical="center"/>
      <protection locked="0"/>
    </xf>
    <xf numFmtId="0" fontId="22" fillId="0" borderId="31" xfId="194" applyFont="1" applyFill="1" applyBorder="1" applyAlignment="1" applyProtection="1">
      <alignment horizontal="center" vertical="center"/>
      <protection locked="0"/>
    </xf>
    <xf numFmtId="0" fontId="22" fillId="0" borderId="94" xfId="194" applyFont="1" applyFill="1" applyBorder="1" applyAlignment="1" applyProtection="1">
      <alignment horizontal="center" vertical="center" wrapText="1"/>
      <protection locked="0"/>
    </xf>
    <xf numFmtId="0" fontId="22" fillId="0" borderId="73" xfId="194" applyFont="1" applyFill="1" applyBorder="1" applyAlignment="1" applyProtection="1">
      <alignment horizontal="center" vertical="center" wrapText="1"/>
      <protection locked="0"/>
    </xf>
    <xf numFmtId="0" fontId="22" fillId="0" borderId="31" xfId="194" applyFont="1" applyFill="1" applyBorder="1" applyAlignment="1" applyProtection="1">
      <alignment horizontal="center" vertical="center" wrapText="1"/>
      <protection locked="0"/>
    </xf>
    <xf numFmtId="0" fontId="22" fillId="0" borderId="53" xfId="194" applyFont="1" applyFill="1" applyBorder="1" applyAlignment="1" applyProtection="1">
      <alignment horizontal="center" vertical="center" wrapText="1"/>
      <protection locked="0"/>
    </xf>
    <xf numFmtId="0" fontId="22" fillId="0" borderId="40" xfId="194" applyFont="1" applyFill="1" applyBorder="1" applyAlignment="1" applyProtection="1">
      <alignment horizontal="center" vertical="center" wrapText="1"/>
      <protection locked="0"/>
    </xf>
    <xf numFmtId="0" fontId="22" fillId="0" borderId="39" xfId="194" applyFont="1" applyFill="1" applyBorder="1" applyAlignment="1" applyProtection="1">
      <alignment horizontal="center" vertical="center"/>
      <protection locked="0"/>
    </xf>
    <xf numFmtId="0" fontId="22" fillId="0" borderId="40" xfId="194" applyFont="1" applyFill="1" applyBorder="1" applyAlignment="1" applyProtection="1">
      <alignment horizontal="center" vertical="center"/>
      <protection locked="0"/>
    </xf>
    <xf numFmtId="0" fontId="22" fillId="0" borderId="94" xfId="194" applyFont="1" applyFill="1" applyBorder="1" applyAlignment="1" applyProtection="1">
      <alignment horizontal="center" vertical="center"/>
      <protection locked="0"/>
    </xf>
  </cellXfs>
  <cellStyles count="202">
    <cellStyle name="$" xfId="100"/>
    <cellStyle name="$.00" xfId="101"/>
    <cellStyle name="$_9. Rev2Cost_GDPIPI" xfId="102"/>
    <cellStyle name="$_lists" xfId="103"/>
    <cellStyle name="$_lists_4. Current Monthly Fixed Charge" xfId="104"/>
    <cellStyle name="$_Sheet4" xfId="105"/>
    <cellStyle name="$M" xfId="106"/>
    <cellStyle name="$M.00" xfId="107"/>
    <cellStyle name="$M_9. Rev2Cost_GDPIPI" xfId="108"/>
    <cellStyle name="20% - Accent1 2" xfId="67"/>
    <cellStyle name="20% - Accent1 3" xfId="2"/>
    <cellStyle name="20% - Accent2 2" xfId="71"/>
    <cellStyle name="20% - Accent2 3" xfId="3"/>
    <cellStyle name="20% - Accent3 2" xfId="75"/>
    <cellStyle name="20% - Accent3 3" xfId="4"/>
    <cellStyle name="20% - Accent4 2" xfId="79"/>
    <cellStyle name="20% - Accent4 3" xfId="5"/>
    <cellStyle name="20% - Accent5 2" xfId="83"/>
    <cellStyle name="20% - Accent5 3" xfId="6"/>
    <cellStyle name="20% - Accent6 2" xfId="87"/>
    <cellStyle name="20% - Accent6 3" xfId="7"/>
    <cellStyle name="40% - Accent1 2" xfId="68"/>
    <cellStyle name="40% - Accent1 3" xfId="8"/>
    <cellStyle name="40% - Accent2 2" xfId="72"/>
    <cellStyle name="40% - Accent2 3" xfId="9"/>
    <cellStyle name="40% - Accent3 2" xfId="76"/>
    <cellStyle name="40% - Accent3 3" xfId="10"/>
    <cellStyle name="40% - Accent4 2" xfId="80"/>
    <cellStyle name="40% - Accent4 3" xfId="11"/>
    <cellStyle name="40% - Accent5 2" xfId="84"/>
    <cellStyle name="40% - Accent5 3" xfId="12"/>
    <cellStyle name="40% - Accent6 2" xfId="88"/>
    <cellStyle name="40% - Accent6 3" xfId="13"/>
    <cellStyle name="60% - Accent1 2" xfId="69"/>
    <cellStyle name="60% - Accent1 3" xfId="14"/>
    <cellStyle name="60% - Accent2 2" xfId="73"/>
    <cellStyle name="60% - Accent2 3" xfId="15"/>
    <cellStyle name="60% - Accent3 2" xfId="77"/>
    <cellStyle name="60% - Accent3 3" xfId="16"/>
    <cellStyle name="60% - Accent4 2" xfId="81"/>
    <cellStyle name="60% - Accent4 3" xfId="17"/>
    <cellStyle name="60% - Accent5 2" xfId="85"/>
    <cellStyle name="60% - Accent5 3" xfId="18"/>
    <cellStyle name="60% - Accent6 2" xfId="89"/>
    <cellStyle name="60% - Accent6 3" xfId="19"/>
    <cellStyle name="Accent1 2" xfId="66"/>
    <cellStyle name="Accent1 3" xfId="20"/>
    <cellStyle name="Accent2 2" xfId="70"/>
    <cellStyle name="Accent2 3" xfId="21"/>
    <cellStyle name="Accent3 2" xfId="74"/>
    <cellStyle name="Accent3 3" xfId="22"/>
    <cellStyle name="Accent4 2" xfId="78"/>
    <cellStyle name="Accent4 3" xfId="23"/>
    <cellStyle name="Accent5 2" xfId="82"/>
    <cellStyle name="Accent5 3" xfId="24"/>
    <cellStyle name="Accent6 2" xfId="86"/>
    <cellStyle name="Accent6 3" xfId="25"/>
    <cellStyle name="Bad 2" xfId="55"/>
    <cellStyle name="Bad 3" xfId="26"/>
    <cellStyle name="Calculation 2" xfId="59"/>
    <cellStyle name="Calculation 3" xfId="27"/>
    <cellStyle name="Check Cell 2" xfId="61"/>
    <cellStyle name="Check Cell 3" xfId="28"/>
    <cellStyle name="Comma" xfId="199" builtinId="3"/>
    <cellStyle name="Comma 2" xfId="91"/>
    <cellStyle name="Comma 3" xfId="94"/>
    <cellStyle name="Comma 3 2" xfId="124"/>
    <cellStyle name="Comma 4" xfId="99"/>
    <cellStyle name="Comma 5" xfId="29"/>
    <cellStyle name="Comma0" xfId="109"/>
    <cellStyle name="Currency" xfId="200" builtinId="4"/>
    <cellStyle name="Currency 2" xfId="98"/>
    <cellStyle name="Currency 3" xfId="126"/>
    <cellStyle name="Currency 4" xfId="30"/>
    <cellStyle name="Currency0" xfId="110"/>
    <cellStyle name="Date" xfId="111"/>
    <cellStyle name="Explanatory Text 2" xfId="64"/>
    <cellStyle name="Explanatory Text 3" xfId="31"/>
    <cellStyle name="Fixed" xfId="112"/>
    <cellStyle name="Good 2" xfId="54"/>
    <cellStyle name="Good 3" xfId="32"/>
    <cellStyle name="Grey" xfId="113"/>
    <cellStyle name="Heading 1 2" xfId="50"/>
    <cellStyle name="Heading 1 3" xfId="33"/>
    <cellStyle name="Heading 2 2" xfId="49"/>
    <cellStyle name="Heading 2 3" xfId="34"/>
    <cellStyle name="Heading 3 2" xfId="52"/>
    <cellStyle name="Heading 3 3" xfId="35"/>
    <cellStyle name="Heading 4 2" xfId="53"/>
    <cellStyle name="Heading 4 3" xfId="36"/>
    <cellStyle name="Hyperlink" xfId="37" builtinId="8"/>
    <cellStyle name="Input [yellow]" xfId="114"/>
    <cellStyle name="Input 10" xfId="176"/>
    <cellStyle name="Input 11" xfId="173"/>
    <cellStyle name="Input 12" xfId="179"/>
    <cellStyle name="Input 13" xfId="146"/>
    <cellStyle name="Input 14" xfId="149"/>
    <cellStyle name="Input 15" xfId="150"/>
    <cellStyle name="Input 16" xfId="158"/>
    <cellStyle name="Input 17" xfId="188"/>
    <cellStyle name="Input 18" xfId="137"/>
    <cellStyle name="Input 19" xfId="144"/>
    <cellStyle name="Input 2" xfId="57"/>
    <cellStyle name="Input 20" xfId="186"/>
    <cellStyle name="Input 21" xfId="181"/>
    <cellStyle name="Input 22" xfId="187"/>
    <cellStyle name="Input 23" xfId="139"/>
    <cellStyle name="Input 24" xfId="197"/>
    <cellStyle name="Input 3" xfId="38"/>
    <cellStyle name="Input 4" xfId="141"/>
    <cellStyle name="Input 5" xfId="157"/>
    <cellStyle name="Input 6" xfId="164"/>
    <cellStyle name="Input 7" xfId="161"/>
    <cellStyle name="Input 8" xfId="171"/>
    <cellStyle name="Input 9" xfId="174"/>
    <cellStyle name="Linked Cell 2" xfId="60"/>
    <cellStyle name="Linked Cell 3" xfId="39"/>
    <cellStyle name="M" xfId="115"/>
    <cellStyle name="M.00" xfId="116"/>
    <cellStyle name="M_9. Rev2Cost_GDPIPI" xfId="117"/>
    <cellStyle name="M_lists" xfId="118"/>
    <cellStyle name="M_lists_4. Current Monthly Fixed Charge" xfId="119"/>
    <cellStyle name="M_Sheet4" xfId="120"/>
    <cellStyle name="Neutral 2" xfId="56"/>
    <cellStyle name="Neutral 3" xfId="40"/>
    <cellStyle name="Normal" xfId="0" builtinId="0"/>
    <cellStyle name="Normal - Style1" xfId="121"/>
    <cellStyle name="Normal 10" xfId="130"/>
    <cellStyle name="Normal 11" xfId="131"/>
    <cellStyle name="Normal 12" xfId="132"/>
    <cellStyle name="Normal 13" xfId="133"/>
    <cellStyle name="Normal 14" xfId="134"/>
    <cellStyle name="Normal 15" xfId="1"/>
    <cellStyle name="Normal 16" xfId="136"/>
    <cellStyle name="Normal 17" xfId="153"/>
    <cellStyle name="Normal 18" xfId="166"/>
    <cellStyle name="Normal 19" xfId="145"/>
    <cellStyle name="Normal 2" xfId="47"/>
    <cellStyle name="Normal 20" xfId="152"/>
    <cellStyle name="Normal 21" xfId="165"/>
    <cellStyle name="Normal 22" xfId="147"/>
    <cellStyle name="Normal 23" xfId="169"/>
    <cellStyle name="Normal 24" xfId="163"/>
    <cellStyle name="Normal 25" xfId="177"/>
    <cellStyle name="Normal 26" xfId="151"/>
    <cellStyle name="Normal 27" xfId="156"/>
    <cellStyle name="Normal 28" xfId="185"/>
    <cellStyle name="Normal 29" xfId="180"/>
    <cellStyle name="Normal 3" xfId="51"/>
    <cellStyle name="Normal 30" xfId="148"/>
    <cellStyle name="Normal 31" xfId="189"/>
    <cellStyle name="Normal 32" xfId="184"/>
    <cellStyle name="Normal 33" xfId="194"/>
    <cellStyle name="Normal 34" xfId="191"/>
    <cellStyle name="Normal 35" xfId="183"/>
    <cellStyle name="Normal 36" xfId="198"/>
    <cellStyle name="Normal 4" xfId="90"/>
    <cellStyle name="Normal 4 2" xfId="135"/>
    <cellStyle name="Normal 5" xfId="93"/>
    <cellStyle name="Normal 5 2" xfId="123"/>
    <cellStyle name="Normal 6" xfId="96"/>
    <cellStyle name="Normal 7" xfId="127"/>
    <cellStyle name="Normal 8" xfId="128"/>
    <cellStyle name="Normal 9" xfId="129"/>
    <cellStyle name="Note 2" xfId="63"/>
    <cellStyle name="Note 3" xfId="41"/>
    <cellStyle name="Output 2" xfId="58"/>
    <cellStyle name="Output 3" xfId="42"/>
    <cellStyle name="Percent" xfId="201" builtinId="5"/>
    <cellStyle name="Percent [2]" xfId="122"/>
    <cellStyle name="Percent 10" xfId="160"/>
    <cellStyle name="Percent 11" xfId="155"/>
    <cellStyle name="Percent 12" xfId="172"/>
    <cellStyle name="Percent 13" xfId="168"/>
    <cellStyle name="Percent 14" xfId="178"/>
    <cellStyle name="Percent 15" xfId="170"/>
    <cellStyle name="Percent 16" xfId="142"/>
    <cellStyle name="Percent 17" xfId="182"/>
    <cellStyle name="Percent 18" xfId="159"/>
    <cellStyle name="Percent 19" xfId="175"/>
    <cellStyle name="Percent 2" xfId="92"/>
    <cellStyle name="Percent 20" xfId="140"/>
    <cellStyle name="Percent 21" xfId="192"/>
    <cellStyle name="Percent 22" xfId="193"/>
    <cellStyle name="Percent 23" xfId="190"/>
    <cellStyle name="Percent 24" xfId="167"/>
    <cellStyle name="Percent 25" xfId="195"/>
    <cellStyle name="Percent 26" xfId="196"/>
    <cellStyle name="Percent 3" xfId="95"/>
    <cellStyle name="Percent 3 2" xfId="125"/>
    <cellStyle name="Percent 4" xfId="97"/>
    <cellStyle name="Percent 5" xfId="43"/>
    <cellStyle name="Percent 6" xfId="143"/>
    <cellStyle name="Percent 7" xfId="154"/>
    <cellStyle name="Percent 8" xfId="138"/>
    <cellStyle name="Percent 9" xfId="162"/>
    <cellStyle name="Title 2" xfId="48"/>
    <cellStyle name="Title 3" xfId="44"/>
    <cellStyle name="Total 2" xfId="65"/>
    <cellStyle name="Total 3" xfId="45"/>
    <cellStyle name="Warning Text 2" xfId="62"/>
    <cellStyle name="Warning Text 3" xfId="46"/>
  </cellStyles>
  <dxfs count="0"/>
  <tableStyles count="0" defaultTableStyle="TableStyleMedium2" defaultPivotStyle="PivotStyleLight16"/>
  <colors>
    <mruColors>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2389AFB-4210-4458-9BB1-3ECA9C209324}" diskRevisions="1" revisionId="717" version="7">
  <header guid="{FF08A29D-CA13-4F79-A9EE-FBEAA4DBF2CD}" dateTime="2016-10-12T13:47:44" maxSheetId="20" userName="Sherry Waterhouse"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A16D144-2D46-45A8-8A39-AB92EA24F66C}" dateTime="2016-10-12T14:13:17" maxSheetId="20" userName="Sherry Waterhouse" r:id="rId2" minRId="1" maxRId="8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22B36DE-3043-4C9C-AC53-EF18501897E9}" dateTime="2016-10-12T14:21:53" maxSheetId="20" userName="Sherry Waterhouse" r:id="rId3" minRId="82" maxRId="9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4A49D4C-C218-4ACF-9563-DD4A229A0EA2}" dateTime="2016-10-12T14:22:44" maxSheetId="20" userName="Sherry Waterhouse" r:id="rId4" minRId="94" maxRId="11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CCB9CD0-84AF-489B-8FBE-302F62118C6C}" dateTime="2016-10-12T14:25:20" maxSheetId="20" userName="Sherry Waterhouse" r:id="rId5" minRId="115" maxRId="21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7D206B0-9546-4371-BB0C-50BEE0AF4970}" dateTime="2016-10-28T10:14:07" maxSheetId="20" userName="User" r:id="rId6" minRId="217" maxRId="23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BC08584-9096-4A01-AF08-2ADF118C1703}" dateTime="2016-10-28T10:30:57" maxSheetId="20" userName="User" r:id="rId7" minRId="23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B9B270C-F207-4D3C-9507-D3EAC64008AC}" dateTime="2016-10-28T11:09:56" maxSheetId="20" userName="User" r:id="rId8" minRId="240" maxRId="34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DCB4514-255B-41C8-9F52-9CB67F898230}" dateTime="2016-10-28T11:23:38" maxSheetId="20" userName="User" r:id="rId9" minRId="344" maxRId="46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D1AB1CB-B460-41BE-BFBE-B479EA10824F}" dateTime="2016-10-28T15:31:57" maxSheetId="20" userName="Sherry Waterhouse" r:id="rId10" minRId="464" maxRId="53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5637DD6-72F5-44B6-961E-8FF604B569D3}" dateTime="2016-10-28T15:36:05" maxSheetId="20" userName="Sherry Waterhouse" r:id="rId11" minRId="540" maxRId="56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2389AFB-4210-4458-9BB1-3ECA9C209324}" dateTime="2016-10-31T15:27:59" maxSheetId="20" userName="Oana Stefan" r:id="rId12" minRId="567" maxRId="71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 sId="15">
    <oc r="E48">
      <f>'R:\2017 Cost of Service\Settlement Proposal\[2016 01 19 Rate Design Model_FINAL - Settlement Proposal.xlsx]Cost Allocation Study'!K5</f>
    </oc>
    <nc r="E48">
      <f>'R:\2017 Cost of Service\Settlement Proposal\Update Cost of Power\Updated Models\[2016 01 19 Rate Design Model_FINAL - Settlement Proposal Updated.xlsx]Cost Allocation Study'!K5</f>
    </nc>
  </rcc>
  <rcc rId="465" sId="15">
    <oc r="E49">
      <f>'R:\2017 Cost of Service\Settlement Proposal\[2016 01 19 Rate Design Model_FINAL - Settlement Proposal.xlsx]Cost Allocation Study'!$K$6</f>
    </oc>
    <nc r="E49">
      <f>'R:\2017 Cost of Service\Settlement Proposal\Update Cost of Power\Updated Models\[2016 01 19 Rate Design Model_FINAL - Settlement Proposal Updated.xlsx]Cost Allocation Study'!$K$6</f>
    </nc>
  </rcc>
  <rcc rId="466" sId="15">
    <oc r="E50">
      <f>'R:\2017 Cost of Service\Settlement Proposal\[2016 01 19 Rate Design Model_FINAL - Settlement Proposal.xlsx]Cost Allocation Study'!$K$7</f>
    </oc>
    <nc r="E50">
      <f>'R:\2017 Cost of Service\Settlement Proposal\Update Cost of Power\Updated Models\[2016 01 19 Rate Design Model_FINAL - Settlement Proposal Updated.xlsx]Cost Allocation Study'!$K$7</f>
    </nc>
  </rcc>
  <rcc rId="467" sId="15">
    <oc r="E53">
      <f>'R:\2017 Cost of Service\Settlement Proposal\[2016 01 19 Rate Design Model_FINAL - Settlement Proposal.xlsx]Cost Allocation Study'!$K$8</f>
    </oc>
    <nc r="E53">
      <f>'R:\2017 Cost of Service\Settlement Proposal\Update Cost of Power\Updated Models\[2016 01 19 Rate Design Model_FINAL - Settlement Proposal Updated.xlsx]Cost Allocation Study'!$K$8</f>
    </nc>
  </rcc>
  <rcc rId="468" sId="15">
    <oc r="E54">
      <f>'R:\2017 Cost of Service\Settlement Proposal\[2016 01 19 Rate Design Model_FINAL - Settlement Proposal.xlsx]Cost Allocation Study'!$K$10</f>
    </oc>
    <nc r="E54">
      <f>'R:\2017 Cost of Service\Settlement Proposal\Update Cost of Power\Updated Models\[2016 01 19 Rate Design Model_FINAL - Settlement Proposal Updated.xlsx]Cost Allocation Study'!$K$10</f>
    </nc>
  </rcc>
  <rcc rId="469" sId="15">
    <oc r="E55">
      <f>'R:\2017 Cost of Service\Settlement Proposal\[2016 01 19 Rate Design Model_FINAL - Settlement Proposal.xlsx]Cost Allocation Study'!$K$11</f>
    </oc>
    <nc r="E55">
      <f>'R:\2017 Cost of Service\Settlement Proposal\Update Cost of Power\Updated Models\[2016 01 19 Rate Design Model_FINAL - Settlement Proposal Updated.xlsx]Cost Allocation Study'!$K$11</f>
    </nc>
  </rcc>
  <rcc rId="470" sId="15">
    <oc r="E58">
      <f>'R:\2017 Cost of Service\Settlement Proposal\[2016 01 19 Rate Design Model_FINAL - Settlement Proposal.xlsx]Cost Allocation Study'!$K$12</f>
    </oc>
    <nc r="E58">
      <f>'R:\2017 Cost of Service\Settlement Proposal\Update Cost of Power\Updated Models\[2016 01 19 Rate Design Model_FINAL - Settlement Proposal Updated.xlsx]Cost Allocation Study'!$K$12</f>
    </nc>
  </rcc>
  <rcc rId="471" sId="16">
    <oc r="B20">
      <f>'R:\2017 Cost of Service\Settlement Proposal\[2016 01 19 Rate Design Model_FINAL - Settlement Proposal.xlsx]Cost Allocation Study'!$K$5</f>
    </oc>
    <nc r="B20">
      <f>'R:\2017 Cost of Service\Settlement Proposal\Update Cost of Power\Updated Models\[2016 01 19 Rate Design Model_FINAL - Settlement Proposal Updated.xlsx]Cost Allocation Study'!$K$5</f>
    </nc>
  </rcc>
  <rcc rId="472" sId="19">
    <oc r="M15">
      <f>'R:\2017 Cost of Service\Settlement Proposal\[2016 01 19 Rate Design Model_FINAL - Settlement Proposal.xlsx]Cost Allocation Study'!$K$5</f>
    </oc>
    <nc r="M15">
      <f>'R:\2017 Cost of Service\Settlement Proposal\Update Cost of Power\Updated Models\[2016 01 19 Rate Design Model_FINAL - Settlement Proposal Updated.xlsx]Cost Allocation Study'!$K$5</f>
    </nc>
  </rcc>
  <rcc rId="473" sId="19">
    <oc r="M16">
      <f>'R:\2017 Cost of Service\Settlement Proposal\[2016 01 19 Rate Design Model_FINAL - Settlement Proposal.xlsx]Cost Allocation Study'!$K$6</f>
    </oc>
    <nc r="M16">
      <f>'R:\2017 Cost of Service\Settlement Proposal\Update Cost of Power\Updated Models\[2016 01 19 Rate Design Model_FINAL - Settlement Proposal Updated.xlsx]Cost Allocation Study'!$K$6</f>
    </nc>
  </rcc>
  <rcc rId="474" sId="19">
    <oc r="M17">
      <f>'R:\2017 Cost of Service\Settlement Proposal\[2016 01 19 Rate Design Model_FINAL - Settlement Proposal.xlsx]Cost Allocation Study'!$K$7</f>
    </oc>
    <nc r="M17">
      <f>'R:\2017 Cost of Service\Settlement Proposal\Update Cost of Power\Updated Models\[2016 01 19 Rate Design Model_FINAL - Settlement Proposal Updated.xlsx]Cost Allocation Study'!$K$7</f>
    </nc>
  </rcc>
  <rcc rId="475" sId="19">
    <oc r="M19">
      <f>'R:\2017 Cost of Service\Settlement Proposal\[2016 01 19 Rate Design Model_FINAL - Settlement Proposal.xlsx]Cost Allocation Study'!$K$8</f>
    </oc>
    <nc r="M19">
      <f>'R:\2017 Cost of Service\Settlement Proposal\Update Cost of Power\Updated Models\[2016 01 19 Rate Design Model_FINAL - Settlement Proposal Updated.xlsx]Cost Allocation Study'!$K$8</f>
    </nc>
  </rcc>
  <rcc rId="476" sId="19">
    <oc r="M20">
      <f>'R:\2017 Cost of Service\Settlement Proposal\[2016 01 19 Rate Design Model_FINAL - Settlement Proposal.xlsx]Cost Allocation Study'!$K$10</f>
    </oc>
    <nc r="M20">
      <f>'R:\2017 Cost of Service\Settlement Proposal\Update Cost of Power\Updated Models\[2016 01 19 Rate Design Model_FINAL - Settlement Proposal Updated.xlsx]Cost Allocation Study'!$K$10</f>
    </nc>
  </rcc>
  <rcc rId="477" sId="19">
    <oc r="M21">
      <f>'R:\2017 Cost of Service\Settlement Proposal\[2016 01 19 Rate Design Model_FINAL - Settlement Proposal.xlsx]Cost Allocation Study'!$K$11</f>
    </oc>
    <nc r="M21">
      <f>'R:\2017 Cost of Service\Settlement Proposal\Update Cost of Power\Updated Models\[2016 01 19 Rate Design Model_FINAL - Settlement Proposal Updated.xlsx]Cost Allocation Study'!$K$11</f>
    </nc>
  </rcc>
  <rcc rId="478" sId="19">
    <oc r="M23">
      <f>'R:\2017 Cost of Service\Settlement Proposal\[2016 01 19 Rate Design Model_FINAL - Settlement Proposal.xlsx]Cost Allocation Study'!$K$12</f>
    </oc>
    <nc r="M23">
      <f>'R:\2017 Cost of Service\Settlement Proposal\Update Cost of Power\Updated Models\[2016 01 19 Rate Design Model_FINAL - Settlement Proposal Updated.xlsx]Cost Allocation Study'!$K$12</f>
    </nc>
  </rcc>
  <rcc rId="479" sId="19">
    <oc r="C15">
      <f>'R:\2017 Cost of Service\Settlement Proposal\[2016 01 19 Rate Design Model_FINAL - Settlement Proposal.xlsx]Forecast Data For 2017'!$C$5</f>
    </oc>
    <nc r="C15">
      <f>'R:\2017 Cost of Service\Settlement Proposal\Update Cost of Power\Updated Models\[2016 01 19 Rate Design Model_FINAL - Settlement Proposal Updated.xlsx]Forecast Data For 2017'!$C$5</f>
    </nc>
  </rcc>
  <rcc rId="480" sId="19">
    <oc r="F15">
      <f>'R:\2017 Cost of Service\Settlement Proposal\[2016 01 19 Rate Design Model_FINAL - Settlement Proposal.xlsx]Forecast Data For 2017'!$C$6</f>
    </oc>
    <nc r="F15">
      <f>'R:\2017 Cost of Service\Settlement Proposal\Update Cost of Power\Updated Models\[2016 01 19 Rate Design Model_FINAL - Settlement Proposal Updated.xlsx]Forecast Data For 2017'!$C$6</f>
    </nc>
  </rcc>
  <rcc rId="481" sId="19">
    <oc r="C16">
      <f>'R:\2017 Cost of Service\Settlement Proposal\[2016 01 19 Rate Design Model_FINAL - Settlement Proposal.xlsx]Forecast Data For 2017'!$C$7</f>
    </oc>
    <nc r="C16">
      <f>'R:\2017 Cost of Service\Settlement Proposal\Update Cost of Power\Updated Models\[2016 01 19 Rate Design Model_FINAL - Settlement Proposal Updated.xlsx]Forecast Data For 2017'!$C$7</f>
    </nc>
  </rcc>
  <rcc rId="482" sId="19">
    <oc r="F16">
      <f>'R:\2017 Cost of Service\Settlement Proposal\[2016 01 19 Rate Design Model_FINAL - Settlement Proposal.xlsx]Forecast Data For 2017'!$C$8</f>
    </oc>
    <nc r="F16">
      <f>'R:\2017 Cost of Service\Settlement Proposal\Update Cost of Power\Updated Models\[2016 01 19 Rate Design Model_FINAL - Settlement Proposal Updated.xlsx]Forecast Data For 2017'!$C$8</f>
    </nc>
  </rcc>
  <rcc rId="483" sId="19">
    <oc r="C17">
      <f>'R:\2017 Cost of Service\Settlement Proposal\[2016 01 19 Rate Design Model_FINAL - Settlement Proposal.xlsx]Forecast Data For 2017'!$C$9</f>
    </oc>
    <nc r="C17">
      <f>'R:\2017 Cost of Service\Settlement Proposal\Update Cost of Power\Updated Models\[2016 01 19 Rate Design Model_FINAL - Settlement Proposal Updated.xlsx]Forecast Data For 2017'!$C$9</f>
    </nc>
  </rcc>
  <rcc rId="484" sId="19">
    <oc r="G17">
      <f>'R:\2017 Cost of Service\Settlement Proposal\[2016 01 19 Rate Design Model_FINAL - Settlement Proposal.xlsx]Forecast Data For 2017'!$C$10</f>
    </oc>
    <nc r="G17">
      <f>'R:\2017 Cost of Service\Settlement Proposal\Update Cost of Power\Updated Models\[2016 01 19 Rate Design Model_FINAL - Settlement Proposal Updated.xlsx]Forecast Data For 2017'!$C$10</f>
    </nc>
  </rcc>
  <rcc rId="485" sId="19">
    <oc r="C19">
      <f>'R:\2017 Cost of Service\Settlement Proposal\[2016 01 19 Rate Design Model_FINAL - Settlement Proposal.xlsx]Forecast Data For 2017'!$C$12</f>
    </oc>
    <nc r="C19">
      <f>'R:\2017 Cost of Service\Settlement Proposal\Update Cost of Power\Updated Models\[2016 01 19 Rate Design Model_FINAL - Settlement Proposal Updated.xlsx]Forecast Data For 2017'!$C$12</f>
    </nc>
  </rcc>
  <rcc rId="486" sId="19">
    <oc r="G19">
      <f>'R:\2017 Cost of Service\Settlement Proposal\[2016 01 19 Rate Design Model_FINAL - Settlement Proposal.xlsx]Forecast Data For 2017'!$C$13</f>
    </oc>
    <nc r="G19">
      <f>'R:\2017 Cost of Service\Settlement Proposal\Update Cost of Power\Updated Models\[2016 01 19 Rate Design Model_FINAL - Settlement Proposal Updated.xlsx]Forecast Data For 2017'!$C$13</f>
    </nc>
  </rcc>
  <rcc rId="487" sId="19">
    <oc r="C20">
      <f>'R:\2017 Cost of Service\Settlement Proposal\[2016 01 19 Rate Design Model_FINAL - Settlement Proposal.xlsx]Forecast Data For 2017'!$C$18</f>
    </oc>
    <nc r="C20">
      <f>'R:\2017 Cost of Service\Settlement Proposal\Update Cost of Power\Updated Models\[2016 01 19 Rate Design Model_FINAL - Settlement Proposal Updated.xlsx]Forecast Data For 2017'!$C$18</f>
    </nc>
  </rcc>
  <rcc rId="488" sId="19">
    <oc r="G20">
      <f>'R:\2017 Cost of Service\Settlement Proposal\[2016 01 19 Rate Design Model_FINAL - Settlement Proposal.xlsx]Forecast Data For 2017'!$C$19</f>
    </oc>
    <nc r="G20">
      <f>'R:\2017 Cost of Service\Settlement Proposal\Update Cost of Power\Updated Models\[2016 01 19 Rate Design Model_FINAL - Settlement Proposal Updated.xlsx]Forecast Data For 2017'!$C$19</f>
    </nc>
  </rcc>
  <rcc rId="489" sId="19">
    <oc r="C21">
      <f>'R:\2017 Cost of Service\Settlement Proposal\[2016 01 19 Rate Design Model_FINAL - Settlement Proposal.xlsx]Forecast Data For 2017'!$C$21</f>
    </oc>
    <nc r="C21">
      <f>'R:\2017 Cost of Service\Settlement Proposal\Update Cost of Power\Updated Models\[2016 01 19 Rate Design Model_FINAL - Settlement Proposal Updated.xlsx]Forecast Data For 2017'!$C$21</f>
    </nc>
  </rcc>
  <rcc rId="490" sId="19">
    <oc r="F21">
      <f>'R:\2017 Cost of Service\Settlement Proposal\[2016 01 19 Rate Design Model_FINAL - Settlement Proposal.xlsx]Forecast Data For 2017'!$C$22</f>
    </oc>
    <nc r="F21">
      <f>'R:\2017 Cost of Service\Settlement Proposal\Update Cost of Power\Updated Models\[2016 01 19 Rate Design Model_FINAL - Settlement Proposal Updated.xlsx]Forecast Data For 2017'!$C$22</f>
    </nc>
  </rcc>
  <rcc rId="491" sId="19">
    <oc r="C23">
      <f>'R:\2017 Cost of Service\Settlement Proposal\[2016 01 19 Rate Design Model_FINAL - Settlement Proposal.xlsx]Forecast Data For 2017'!$C$23</f>
    </oc>
    <nc r="C23">
      <f>'R:\2017 Cost of Service\Settlement Proposal\Update Cost of Power\Updated Models\[2016 01 19 Rate Design Model_FINAL - Settlement Proposal Updated.xlsx]Forecast Data For 2017'!$C$23</f>
    </nc>
  </rcc>
  <rcc rId="492" sId="19">
    <oc r="G23">
      <f>'R:\2017 Cost of Service\Settlement Proposal\[2016 01 19 Rate Design Model_FINAL - Settlement Proposal.xlsx]Forecast Data For 2017'!$C$24</f>
    </oc>
    <nc r="G23">
      <f>'R:\2017 Cost of Service\Settlement Proposal\Update Cost of Power\Updated Models\[2016 01 19 Rate Design Model_FINAL - Settlement Proposal Updated.xlsx]Forecast Data For 2017'!$C$24</f>
    </nc>
  </rcc>
  <rcc rId="493" sId="19">
    <oc r="H15">
      <f>'R:\2017 Cost of Service\Settlement Proposal\[2016 01 19 Rate Design Model_FINAL - Settlement Proposal.xlsx]Distribution Rate Schedule'!$C$9</f>
    </oc>
    <nc r="H15">
      <f>'R:\2017 Cost of Service\Settlement Proposal\Update Cost of Power\Updated Models\[2016 01 19 Rate Design Model_FINAL - Settlement Proposal Updated.xlsx]Distribution Rate Schedule'!$C$9</f>
    </nc>
  </rcc>
  <rcc rId="494" sId="19">
    <oc r="I15">
      <f>'R:\2017 Cost of Service\Settlement Proposal\[2016 01 19 Rate Design Model_FINAL - Settlement Proposal.xlsx]Distribution Rate Schedule'!$E$9</f>
    </oc>
    <nc r="I15">
      <f>'R:\2017 Cost of Service\Settlement Proposal\Update Cost of Power\Updated Models\[2016 01 19 Rate Design Model_FINAL - Settlement Proposal Updated.xlsx]Distribution Rate Schedule'!$E$9</f>
    </nc>
  </rcc>
  <rcc rId="495" sId="19">
    <oc r="H16">
      <f>'R:\2017 Cost of Service\Settlement Proposal\[2016 01 19 Rate Design Model_FINAL - Settlement Proposal.xlsx]Distribution Rate Schedule'!$C$10</f>
    </oc>
    <nc r="H16">
      <f>'R:\2017 Cost of Service\Settlement Proposal\Update Cost of Power\Updated Models\[2016 01 19 Rate Design Model_FINAL - Settlement Proposal Updated.xlsx]Distribution Rate Schedule'!$C$10</f>
    </nc>
  </rcc>
  <rcc rId="496" sId="19">
    <oc r="I16">
      <f>'R:\2017 Cost of Service\Settlement Proposal\[2016 01 19 Rate Design Model_FINAL - Settlement Proposal.xlsx]Distribution Rate Schedule'!$E$10</f>
    </oc>
    <nc r="I16">
      <f>'R:\2017 Cost of Service\Settlement Proposal\Update Cost of Power\Updated Models\[2016 01 19 Rate Design Model_FINAL - Settlement Proposal Updated.xlsx]Distribution Rate Schedule'!$E$10</f>
    </nc>
  </rcc>
  <rcc rId="497" sId="19">
    <oc r="H17">
      <f>'R:\2017 Cost of Service\Settlement Proposal\[2016 01 19 Rate Design Model_FINAL - Settlement Proposal.xlsx]Distribution Rate Schedule'!$C$11</f>
    </oc>
    <nc r="H17">
      <f>'R:\2017 Cost of Service\Settlement Proposal\Update Cost of Power\Updated Models\[2016 01 19 Rate Design Model_FINAL - Settlement Proposal Updated.xlsx]Distribution Rate Schedule'!$C$11</f>
    </nc>
  </rcc>
  <rcc rId="498" sId="19">
    <oc r="J17">
      <f>'R:\2017 Cost of Service\Settlement Proposal\[2016 01 19 Rate Design Model_FINAL - Settlement Proposal.xlsx]Distribution Rate Schedule'!$D$11</f>
    </oc>
    <nc r="J17">
      <f>'R:\2017 Cost of Service\Settlement Proposal\Update Cost of Power\Updated Models\[2016 01 19 Rate Design Model_FINAL - Settlement Proposal Updated.xlsx]Distribution Rate Schedule'!$D$11</f>
    </nc>
  </rcc>
  <rcc rId="499" sId="19">
    <oc r="H19">
      <f>'R:\2017 Cost of Service\Settlement Proposal\[2016 01 19 Rate Design Model_FINAL - Settlement Proposal.xlsx]Distribution Rate Schedule'!$B$12</f>
    </oc>
    <nc r="H19">
      <f>'R:\2017 Cost of Service\Settlement Proposal\Update Cost of Power\Updated Models\[2016 01 19 Rate Design Model_FINAL - Settlement Proposal Updated.xlsx]Distribution Rate Schedule'!$B$12</f>
    </nc>
  </rcc>
  <rcc rId="500" sId="19">
    <oc r="J19">
      <f>'R:\2017 Cost of Service\Settlement Proposal\[2016 01 19 Rate Design Model_FINAL - Settlement Proposal.xlsx]Distribution Rate Schedule'!$D$12</f>
    </oc>
    <nc r="J19">
      <f>'R:\2017 Cost of Service\Settlement Proposal\Update Cost of Power\Updated Models\[2016 01 19 Rate Design Model_FINAL - Settlement Proposal Updated.xlsx]Distribution Rate Schedule'!$D$12</f>
    </nc>
  </rcc>
  <rcc rId="501" sId="19">
    <oc r="H20">
      <f>'R:\2017 Cost of Service\Settlement Proposal\[2016 01 19 Rate Design Model_FINAL - Settlement Proposal.xlsx]Distribution Rate Schedule'!$B$16</f>
    </oc>
    <nc r="H20">
      <f>'R:\2017 Cost of Service\Settlement Proposal\Update Cost of Power\Updated Models\[2016 01 19 Rate Design Model_FINAL - Settlement Proposal Updated.xlsx]Distribution Rate Schedule'!$B$16</f>
    </nc>
  </rcc>
  <rcc rId="502" sId="19">
    <oc r="J20">
      <f>'R:\2017 Cost of Service\Settlement Proposal\[2016 01 19 Rate Design Model_FINAL - Settlement Proposal.xlsx]Distribution Rate Schedule'!$D$16</f>
    </oc>
    <nc r="J20">
      <f>'R:\2017 Cost of Service\Settlement Proposal\Update Cost of Power\Updated Models\[2016 01 19 Rate Design Model_FINAL - Settlement Proposal Updated.xlsx]Distribution Rate Schedule'!$D$16</f>
    </nc>
  </rcc>
  <rcc rId="503" sId="19">
    <oc r="H21">
      <f>'R:\2017 Cost of Service\Settlement Proposal\[2016 01 19 Rate Design Model_FINAL - Settlement Proposal.xlsx]Distribution Rate Schedule'!$B$17</f>
    </oc>
    <nc r="H21">
      <f>'R:\2017 Cost of Service\Settlement Proposal\Update Cost of Power\Updated Models\[2016 01 19 Rate Design Model_FINAL - Settlement Proposal Updated.xlsx]Distribution Rate Schedule'!$B$17</f>
    </nc>
  </rcc>
  <rcc rId="504" sId="19">
    <oc r="I21">
      <f>'R:\2017 Cost of Service\Settlement Proposal\[2016 01 19 Rate Design Model_FINAL - Settlement Proposal.xlsx]Distribution Rate Schedule'!$E$17</f>
    </oc>
    <nc r="I21">
      <f>'R:\2017 Cost of Service\Settlement Proposal\Update Cost of Power\Updated Models\[2016 01 19 Rate Design Model_FINAL - Settlement Proposal Updated.xlsx]Distribution Rate Schedule'!$E$17</f>
    </nc>
  </rcc>
  <rcc rId="505" sId="19">
    <oc r="H23">
      <f>'R:\2017 Cost of Service\Settlement Proposal\[2016 01 19 Rate Design Model_FINAL - Settlement Proposal.xlsx]Distribution Rate Schedule'!$C$14</f>
    </oc>
    <nc r="H23">
      <f>'R:\2017 Cost of Service\Settlement Proposal\Update Cost of Power\Updated Models\[2016 01 19 Rate Design Model_FINAL - Settlement Proposal Updated.xlsx]Distribution Rate Schedule'!$C$14</f>
    </nc>
  </rcc>
  <rcc rId="506" sId="19">
    <oc r="J23">
      <f>'R:\2017 Cost of Service\Settlement Proposal\[2016 01 19 Rate Design Model_FINAL - Settlement Proposal.xlsx]Distribution Rate Schedule'!$D$14</f>
    </oc>
    <nc r="J23">
      <f>'R:\2017 Cost of Service\Settlement Proposal\Update Cost of Power\Updated Models\[2016 01 19 Rate Design Model_FINAL - Settlement Proposal Updated.xlsx]Distribution Rate Schedule'!$D$14</f>
    </nc>
  </rcc>
  <rcc rId="507" sId="19">
    <oc r="N16">
      <f>-'R:\2017 Cost of Service\Settlement Proposal\[2016 01 19 Rate Design Model_FINAL - Settlement Proposal.xlsx]Transformer Allowance'!$C$14</f>
    </oc>
    <nc r="N16">
      <f>-'R:\2017 Cost of Service\Settlement Proposal\Update Cost of Power\Updated Models\[2016 01 19 Rate Design Model_FINAL - Settlement Proposal Updated.xlsx]Transformer Allowance'!$C$14</f>
    </nc>
  </rcc>
  <rcc rId="508" sId="19">
    <oc r="N17">
      <f>-'R:\2017 Cost of Service\Settlement Proposal\[2016 01 19 Rate Design Model_FINAL - Settlement Proposal.xlsx]Transformer Allowance'!$C$11</f>
    </oc>
    <nc r="N17">
      <f>-'R:\2017 Cost of Service\Settlement Proposal\Update Cost of Power\Updated Models\[2016 01 19 Rate Design Model_FINAL - Settlement Proposal Updated.xlsx]Transformer Allowance'!$C$11</f>
    </nc>
  </rcc>
  <rcc rId="509" sId="19">
    <oc r="N23">
      <f>-'R:\2017 Cost of Service\Settlement Proposal\[2016 01 19 Rate Design Model_FINAL - Settlement Proposal.xlsx]Transformer Allowance'!$C$13</f>
    </oc>
    <nc r="N23">
      <f>-'R:\2017 Cost of Service\Settlement Proposal\Update Cost of Power\Updated Models\[2016 01 19 Rate Design Model_FINAL - Settlement Proposal Updated.xlsx]Transformer Allowance'!$C$13</f>
    </nc>
  </rcc>
  <rcc rId="510" sId="8">
    <oc r="B42">
      <f>'R:\2017 Cost of Service\Settlement Proposal\[Weather Normalization Regression Model _ v13 - Settlement Proposal.xls]CDM Results'!I27</f>
    </oc>
    <nc r="B42">
      <f>'R:\2017 Cost of Service\Settlement Proposal\Iterations from Parties\[Copy of Brantford_SettlementP_Weather Normalization Regression Model _ 20161014.xls]CDM Results'!I27</f>
    </nc>
  </rcc>
  <rcc rId="511" sId="8">
    <oc r="C42">
      <f>'R:\2017 Cost of Service\Settlement Proposal\[Weather Normalization Regression Model _ v13 - Settlement Proposal.xls]CDM Results'!J27</f>
    </oc>
    <nc r="C42">
      <f>'R:\2017 Cost of Service\Settlement Proposal\Iterations from Parties\[Copy of Brantford_SettlementP_Weather Normalization Regression Model _ 20161014.xls]CDM Results'!J27</f>
    </nc>
  </rcc>
  <rcc rId="512" sId="8">
    <oc r="D42">
      <f>'R:\2017 Cost of Service\Settlement Proposal\[Weather Normalization Regression Model _ v13 - Settlement Proposal.xls]CDM Results'!K27</f>
    </oc>
    <nc r="D42">
      <f>'R:\2017 Cost of Service\Settlement Proposal\Iterations from Parties\[Copy of Brantford_SettlementP_Weather Normalization Regression Model _ 20161014.xls]CDM Results'!K27</f>
    </nc>
  </rcc>
  <rcc rId="513" sId="8">
    <oc r="E42">
      <f>'R:\2017 Cost of Service\Settlement Proposal\[Weather Normalization Regression Model _ v13 - Settlement Proposal.xls]CDM Results'!L27</f>
    </oc>
    <nc r="E42">
      <f>'R:\2017 Cost of Service\Settlement Proposal\Iterations from Parties\[Copy of Brantford_SettlementP_Weather Normalization Regression Model _ 20161014.xls]CDM Results'!L27</f>
    </nc>
  </rcc>
  <rcc rId="514" sId="8">
    <oc r="C43">
      <f>'R:\2017 Cost of Service\Settlement Proposal\[Weather Normalization Regression Model _ v13 - Settlement Proposal.xls]CDM Results'!J28</f>
    </oc>
    <nc r="C43">
      <f>'R:\2017 Cost of Service\Settlement Proposal\Iterations from Parties\[Copy of Brantford_SettlementP_Weather Normalization Regression Model _ 20161014.xls]CDM Results'!J28</f>
    </nc>
  </rcc>
  <rcc rId="515" sId="8">
    <oc r="D43">
      <f>'R:\2017 Cost of Service\Settlement Proposal\[Weather Normalization Regression Model _ v13 - Settlement Proposal.xls]CDM Results'!K28</f>
    </oc>
    <nc r="D43">
      <f>'R:\2017 Cost of Service\Settlement Proposal\Iterations from Parties\[Copy of Brantford_SettlementP_Weather Normalization Regression Model _ 20161014.xls]CDM Results'!K28</f>
    </nc>
  </rcc>
  <rcc rId="516" sId="8">
    <oc r="E43">
      <f>'R:\2017 Cost of Service\Settlement Proposal\[Weather Normalization Regression Model _ v13 - Settlement Proposal.xls]CDM Results'!L28</f>
    </oc>
    <nc r="E43">
      <f>'R:\2017 Cost of Service\Settlement Proposal\Iterations from Parties\[Copy of Brantford_SettlementP_Weather Normalization Regression Model _ 20161014.xls]CDM Results'!L28</f>
    </nc>
  </rcc>
  <rcc rId="517" sId="8">
    <oc r="D44">
      <f>'R:\2017 Cost of Service\Settlement Proposal\[Weather Normalization Regression Model _ v13 - Settlement Proposal.xls]CDM Results'!K29</f>
    </oc>
    <nc r="D44">
      <f>'R:\2017 Cost of Service\Settlement Proposal\Iterations from Parties\[Copy of Brantford_SettlementP_Weather Normalization Regression Model _ 20161014.xls]CDM Results'!K29</f>
    </nc>
  </rcc>
  <rcc rId="518" sId="8">
    <oc r="E44">
      <f>'R:\2017 Cost of Service\Settlement Proposal\[Weather Normalization Regression Model _ v13 - Settlement Proposal.xls]CDM Results'!L29</f>
    </oc>
    <nc r="E44">
      <f>'R:\2017 Cost of Service\Settlement Proposal\Iterations from Parties\[Copy of Brantford_SettlementP_Weather Normalization Regression Model _ 20161014.xls]CDM Results'!L29</f>
    </nc>
  </rcc>
  <rcc rId="519" sId="8">
    <oc r="E45">
      <f>'R:\2017 Cost of Service\Settlement Proposal\[Weather Normalization Regression Model _ v13 - Settlement Proposal.xls]CDM Results'!L30</f>
    </oc>
    <nc r="E45">
      <f>'R:\2017 Cost of Service\Settlement Proposal\Iterations from Parties\[Copy of Brantford_SettlementP_Weather Normalization Regression Model _ 20161014.xls]CDM Results'!L30</f>
    </nc>
  </rcc>
  <rcc rId="520" sId="16">
    <oc r="B17">
      <f>'R:\2017 Cost of Service\Settlement Proposal\[Weather Normalization Regression Model _ v13 - Settlement Proposal.xls]Summary'!$M$12</f>
    </oc>
    <nc r="B17">
      <f>'R:\2017 Cost of Service\Settlement Proposal\Iterations from Parties\[Copy of Brantford_SettlementP_Weather Normalization Regression Model _ 20161014.xls]Summary'!$M$12</f>
    </nc>
  </rcc>
  <rcc rId="521" sId="16">
    <oc r="B18">
      <f>'R:\2017 Cost of Service\Settlement Proposal\[Weather Normalization Regression Model _ v13 - Settlement Proposal.xls]Summary'!$M$13</f>
    </oc>
    <nc r="B18">
      <f>'R:\2017 Cost of Service\Settlement Proposal\Iterations from Parties\[Copy of Brantford_SettlementP_Weather Normalization Regression Model _ 20161014.xls]Summary'!$M$13</f>
    </nc>
  </rcc>
  <rcc rId="522" sId="15">
    <oc r="D17">
      <f>'R:\2017 Cost of Service\Settlement Proposal\[2016_Cost_Allocation_Model _ Settlement Proposal.xlsm]O1 Revenue to cost|RR'!$D$40</f>
    </oc>
    <nc r="D17">
      <f>'R:\2017 Cost of Service\Settlement Proposal\Update Cost of Power\Updated Models\[Brantford_SettlementP_Cost Allocation_20161028.xlsm]O1 Revenue to cost|RR'!$D$40</f>
    </nc>
  </rcc>
  <rcc rId="523" sId="15">
    <oc r="D18">
      <f>'R:\2017 Cost of Service\Settlement Proposal\[2016_Cost_Allocation_Model _ Settlement Proposal.xlsm]O1 Revenue to cost|RR'!$E$40</f>
    </oc>
    <nc r="D18">
      <f>'R:\2017 Cost of Service\Settlement Proposal\Update Cost of Power\Updated Models\[Brantford_SettlementP_Cost Allocation_20161028.xlsm]O1 Revenue to cost|RR'!$E$40</f>
    </nc>
  </rcc>
  <rcc rId="524" sId="15">
    <oc r="D19">
      <f>'R:\2017 Cost of Service\Settlement Proposal\[2016_Cost_Allocation_Model _ Settlement Proposal.xlsm]O1 Revenue to cost|RR'!$F$40</f>
    </oc>
    <nc r="D19">
      <f>'R:\2017 Cost of Service\Settlement Proposal\Update Cost of Power\Updated Models\[Brantford_SettlementP_Cost Allocation_20161028.xlsm]O1 Revenue to cost|RR'!$F$40</f>
    </nc>
  </rcc>
  <rcc rId="525" sId="15">
    <oc r="D22">
      <f>'R:\2017 Cost of Service\Settlement Proposal\[2016_Cost_Allocation_Model _ Settlement Proposal.xlsm]O1 Revenue to cost|RR'!$J$40</f>
    </oc>
    <nc r="D22">
      <f>'R:\2017 Cost of Service\Settlement Proposal\Update Cost of Power\Updated Models\[Brantford_SettlementP_Cost Allocation_20161028.xlsm]O1 Revenue to cost|RR'!$J$40</f>
    </nc>
  </rcc>
  <rcc rId="526" sId="15">
    <oc r="D23">
      <f>'R:\2017 Cost of Service\Settlement Proposal\[2016_Cost_Allocation_Model _ Settlement Proposal.xlsm]O1 Revenue to cost|RR'!$K$40</f>
    </oc>
    <nc r="D23">
      <f>'R:\2017 Cost of Service\Settlement Proposal\Update Cost of Power\Updated Models\[Brantford_SettlementP_Cost Allocation_20161028.xlsm]O1 Revenue to cost|RR'!$K$40</f>
    </nc>
  </rcc>
  <rcc rId="527" sId="15">
    <oc r="D24">
      <f>'R:\2017 Cost of Service\Settlement Proposal\[2016_Cost_Allocation_Model _ Settlement Proposal.xlsm]O1 Revenue to cost|RR'!$L$40</f>
    </oc>
    <nc r="D24">
      <f>'R:\2017 Cost of Service\Settlement Proposal\Update Cost of Power\Updated Models\[Brantford_SettlementP_Cost Allocation_20161028.xlsm]O1 Revenue to cost|RR'!$L$40</f>
    </nc>
  </rcc>
  <rcc rId="528" sId="15">
    <oc r="D27">
      <f>'R:\2017 Cost of Service\Settlement Proposal\[2016_Cost_Allocation_Model _ Settlement Proposal.xlsm]O1 Revenue to cost|RR'!$M$40</f>
    </oc>
    <nc r="D27">
      <f>'R:\2017 Cost of Service\Settlement Proposal\Update Cost of Power\Updated Models\[Brantford_SettlementP_Cost Allocation_20161028.xlsm]O1 Revenue to cost|RR'!$M$40</f>
    </nc>
  </rcc>
  <rcc rId="529" sId="15">
    <oc r="D44">
      <f>'R:\2017 Cost of Service\Settlement Proposal\[2016_Cost_Allocation_Model _ Settlement Proposal.xlsm]O1 Revenue to cost|RR'!$C$22</f>
    </oc>
    <nc r="D44">
      <f>'R:\2017 Cost of Service\Settlement Proposal\Update Cost of Power\Updated Models\[Brantford_SettlementP_Cost Allocation_20161028.xlsm]O1 Revenue to cost|RR'!$C$22</f>
    </nc>
  </rcc>
  <rcc rId="530" sId="15">
    <oc r="F48">
      <f>'R:\2017 Cost of Service\Settlement Proposal\[2016_Cost_Allocation_Model _ Settlement Proposal.xlsm]O1 Revenue to cost|RR'!$D$24</f>
    </oc>
    <nc r="F48">
      <f>'R:\2017 Cost of Service\Settlement Proposal\Update Cost of Power\Updated Models\[Brantford_SettlementP_Cost Allocation_20161028.xlsm]O1 Revenue to cost|RR'!$D$24</f>
    </nc>
  </rcc>
  <rcc rId="531" sId="15">
    <oc r="F49">
      <f>'R:\2017 Cost of Service\Settlement Proposal\[2016_Cost_Allocation_Model _ Settlement Proposal.xlsm]O1 Revenue to cost|RR'!$E$24</f>
    </oc>
    <nc r="F49">
      <f>'R:\2017 Cost of Service\Settlement Proposal\Update Cost of Power\Updated Models\[Brantford_SettlementP_Cost Allocation_20161028.xlsm]O1 Revenue to cost|RR'!$E$24</f>
    </nc>
  </rcc>
  <rcc rId="532" sId="15">
    <oc r="F50">
      <f>'R:\2017 Cost of Service\Settlement Proposal\[2016_Cost_Allocation_Model _ Settlement Proposal.xlsm]O1 Revenue to cost|RR'!$F$24</f>
    </oc>
    <nc r="F50">
      <f>'R:\2017 Cost of Service\Settlement Proposal\Update Cost of Power\Updated Models\[Brantford_SettlementP_Cost Allocation_20161028.xlsm]O1 Revenue to cost|RR'!$F$24</f>
    </nc>
  </rcc>
  <rcc rId="533" sId="15">
    <oc r="F53">
      <f>'R:\2017 Cost of Service\Settlement Proposal\[2016_Cost_Allocation_Model _ Settlement Proposal.xlsm]O1 Revenue to cost|RR'!$J$24</f>
    </oc>
    <nc r="F53">
      <f>'R:\2017 Cost of Service\Settlement Proposal\Update Cost of Power\Updated Models\[Brantford_SettlementP_Cost Allocation_20161028.xlsm]O1 Revenue to cost|RR'!$J$24</f>
    </nc>
  </rcc>
  <rcc rId="534" sId="15">
    <oc r="F54">
      <f>'R:\2017 Cost of Service\Settlement Proposal\[2016_Cost_Allocation_Model _ Settlement Proposal.xlsm]O1 Revenue to cost|RR'!$K$24</f>
    </oc>
    <nc r="F54">
      <f>'R:\2017 Cost of Service\Settlement Proposal\Update Cost of Power\Updated Models\[Brantford_SettlementP_Cost Allocation_20161028.xlsm]O1 Revenue to cost|RR'!$K$24</f>
    </nc>
  </rcc>
  <rcc rId="535" sId="15">
    <oc r="F55">
      <f>'R:\2017 Cost of Service\Settlement Proposal\[2016_Cost_Allocation_Model _ Settlement Proposal.xlsm]O1 Revenue to cost|RR'!$L$24</f>
    </oc>
    <nc r="F55">
      <f>'R:\2017 Cost of Service\Settlement Proposal\Update Cost of Power\Updated Models\[Brantford_SettlementP_Cost Allocation_20161028.xlsm]O1 Revenue to cost|RR'!$L$24</f>
    </nc>
  </rcc>
  <rcc rId="536" sId="15">
    <oc r="F58">
      <f>'R:\2017 Cost of Service\Settlement Proposal\[2016_Cost_Allocation_Model _ Settlement Proposal.xlsm]O1 Revenue to cost|RR'!$M$24</f>
    </oc>
    <nc r="F58">
      <f>'R:\2017 Cost of Service\Settlement Proposal\Update Cost of Power\Updated Models\[Brantford_SettlementP_Cost Allocation_20161028.xlsm]O1 Revenue to cost|RR'!$M$24</f>
    </nc>
  </rcc>
  <rcc rId="537" sId="15" numFmtId="34">
    <oc r="D28">
      <v>18575341.31270054</v>
    </oc>
    <nc r="D28">
      <f>SUM(D17:D27)</f>
    </nc>
  </rcc>
  <rcc rId="538" sId="15" numFmtId="34">
    <oc r="B28">
      <v>17864602</v>
    </oc>
    <nc r="B28">
      <f>SUM(B17:B27)</f>
    </nc>
  </rcc>
  <rcc rId="539" sId="15" numFmtId="34">
    <oc r="E59">
      <v>17260341.807767291</v>
    </oc>
    <nc r="E59">
      <f>SUM(E48:E58)</f>
    </nc>
  </rcc>
  <rcv guid="{AE01795C-0F1A-4D22-B411-4CB1D681CFC8}" action="delete"/>
  <rcv guid="{AE01795C-0F1A-4D22-B411-4CB1D681CFC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0" sId="8">
    <oc r="B114">
      <v>2011</v>
    </oc>
    <nc r="B114">
      <v>2012</v>
    </nc>
  </rcc>
  <rcc rId="541" sId="8">
    <oc r="C114">
      <v>2012</v>
    </oc>
    <nc r="C114">
      <f>B114+1</f>
    </nc>
  </rcc>
  <rcc rId="542" sId="8" odxf="1" dxf="1">
    <oc r="D114">
      <v>2013</v>
    </oc>
    <nc r="D114">
      <f>C114+1</f>
    </nc>
    <odxf/>
    <ndxf/>
  </rcc>
  <rcc rId="543" sId="8" odxf="1" dxf="1">
    <oc r="E114">
      <v>2014</v>
    </oc>
    <nc r="E114">
      <f>D114+1</f>
    </nc>
    <odxf/>
    <ndxf/>
  </rcc>
  <rcc rId="544" sId="8" odxf="1" dxf="1">
    <oc r="F114">
      <v>2015</v>
    </oc>
    <nc r="F114">
      <f>E114+1</f>
    </nc>
    <odxf/>
    <ndxf/>
  </rcc>
  <rcc rId="545" sId="8" odxf="1" dxf="1">
    <oc r="G114">
      <v>2016</v>
    </oc>
    <nc r="G114">
      <f>F114+1</f>
    </nc>
    <odxf>
      <alignment vertical="center" readingOrder="0"/>
    </odxf>
    <ndxf>
      <alignment vertical="top" readingOrder="0"/>
    </ndxf>
  </rcc>
  <rcc rId="546" sId="8">
    <oc r="H114" t="inlineStr">
      <is>
        <t>Total for 2016</t>
      </is>
    </oc>
    <nc r="H114" t="inlineStr">
      <is>
        <t>Total for 2017</t>
      </is>
    </nc>
  </rcc>
  <rcc rId="547" sId="8" odxf="1" dxf="1" numFmtId="34">
    <nc r="F116">
      <v>7730071.7124323156</v>
    </nc>
    <odxf>
      <border outline="0">
        <top/>
        <bottom/>
      </border>
    </odxf>
    <ndxf>
      <border outline="0">
        <top style="thin">
          <color indexed="64"/>
        </top>
        <bottom style="double">
          <color indexed="64"/>
        </bottom>
      </border>
    </ndxf>
  </rcc>
  <rcc rId="548" sId="8" numFmtId="34">
    <nc r="G116">
      <v>15611676</v>
    </nc>
  </rcc>
  <rcc rId="549" sId="8" numFmtId="34">
    <oc r="B116">
      <v>4394084.261384869</v>
    </oc>
    <nc r="B116"/>
  </rcc>
  <rcc rId="550" sId="8" numFmtId="34">
    <oc r="C116">
      <v>5363496</v>
    </oc>
    <nc r="C116"/>
  </rcc>
  <rcc rId="551" sId="8" numFmtId="34">
    <oc r="D116">
      <v>5079363</v>
    </oc>
    <nc r="D116"/>
  </rcc>
  <rcc rId="552" sId="8" numFmtId="34">
    <oc r="E116">
      <v>35997464</v>
    </oc>
    <nc r="E116"/>
  </rcc>
  <rrc rId="553" sId="8" ref="A118:XFD118" action="deleteRow">
    <rfmt sheetId="8" xfDxf="1" sqref="A118:XFD118" start="0" length="0"/>
    <rcc rId="0" sId="8" s="1" dxf="1">
      <nc r="A118" t="inlineStr">
        <is>
          <t>CDM adjustment for test year forecast (per Board Decision in distributor's most recent Cost of Service Application) (enter as negative)</t>
        </is>
      </nc>
      <ndxf>
        <font>
          <sz val="11"/>
          <color theme="1"/>
          <name val="Calibri"/>
          <scheme val="minor"/>
        </font>
        <fill>
          <patternFill patternType="solid">
            <bgColor theme="0"/>
          </patternFill>
        </fill>
        <alignment wrapText="1" readingOrder="0"/>
        <border outline="0">
          <left style="medium">
            <color indexed="64"/>
          </left>
          <right style="thin">
            <color indexed="64"/>
          </right>
          <bottom style="thin">
            <color indexed="64"/>
          </bottom>
        </border>
        <protection locked="0"/>
      </ndxf>
    </rcc>
    <rcc rId="0" sId="8" s="1" dxf="1" numFmtId="34">
      <nc r="B118">
        <v>-8000</v>
      </nc>
      <ndxf>
        <font>
          <sz val="10"/>
          <color auto="1"/>
          <name val="Calibri"/>
          <scheme val="minor"/>
        </font>
        <numFmt numFmtId="167" formatCode="_-* #,##0.00_-;\-* #,##0.00_-;_-* &quot;-&quot;??_-;_-@_-"/>
        <fill>
          <patternFill patternType="solid">
            <bgColor theme="6" tint="0.79998168889431442"/>
          </patternFill>
        </fill>
        <alignment horizontal="center" vertical="center" readingOrder="0"/>
        <border outline="0">
          <bottom style="thin">
            <color indexed="64"/>
          </bottom>
        </border>
        <protection locked="0"/>
      </ndxf>
    </rcc>
    <rcc rId="0" sId="8" s="1" dxf="1" numFmtId="34">
      <nc r="C118">
        <v>-8000</v>
      </nc>
      <ndxf>
        <font>
          <sz val="11"/>
          <color theme="1"/>
          <name val="Calibri"/>
          <scheme val="minor"/>
        </font>
        <numFmt numFmtId="167" formatCode="_-* #,##0.00_-;\-* #,##0.00_-;_-* &quot;-&quot;??_-;_-@_-"/>
        <fill>
          <patternFill patternType="solid">
            <bgColor theme="6" tint="0.79998168889431442"/>
          </patternFill>
        </fill>
        <alignment horizontal="center" vertical="center" readingOrder="0"/>
        <border outline="0">
          <bottom style="thin">
            <color indexed="64"/>
          </bottom>
        </border>
        <protection locked="0"/>
      </ndxf>
    </rcc>
    <rcc rId="0" sId="8" s="1" dxf="1" numFmtId="34">
      <nc r="D118">
        <v>-8000</v>
      </nc>
      <ndxf>
        <font>
          <sz val="11"/>
          <color theme="1"/>
          <name val="Calibri"/>
          <scheme val="minor"/>
        </font>
        <numFmt numFmtId="167" formatCode="_-* #,##0.00_-;\-* #,##0.00_-;_-* &quot;-&quot;??_-;_-@_-"/>
        <alignment horizontal="center" vertical="center" readingOrder="0"/>
        <border outline="0">
          <bottom style="thin">
            <color indexed="64"/>
          </bottom>
        </border>
        <protection locked="0"/>
      </ndxf>
    </rcc>
    <rcc rId="0" sId="8" s="1" dxf="1" numFmtId="34">
      <nc r="E118">
        <v>-8000</v>
      </nc>
      <ndxf>
        <font>
          <sz val="11"/>
          <color theme="1"/>
          <name val="Calibri"/>
          <scheme val="minor"/>
        </font>
        <numFmt numFmtId="167" formatCode="_-* #,##0.00_-;\-* #,##0.00_-;_-* &quot;-&quot;??_-;_-@_-"/>
        <alignment horizontal="center" vertical="center" readingOrder="0"/>
        <border outline="0">
          <bottom style="thin">
            <color indexed="64"/>
          </bottom>
        </border>
        <protection locked="0"/>
      </ndxf>
    </rcc>
    <rfmt sheetId="8" s="1" sqref="F118" start="0" length="0">
      <dxf>
        <font>
          <sz val="11"/>
          <color theme="1"/>
          <name val="Calibri"/>
          <scheme val="minor"/>
        </font>
        <numFmt numFmtId="167" formatCode="_-* #,##0.00_-;\-* #,##0.00_-;_-* &quot;-&quot;??_-;_-@_-"/>
        <alignment horizontal="center" vertical="center" readingOrder="0"/>
        <border outline="0">
          <bottom style="thin">
            <color indexed="64"/>
          </bottom>
        </border>
        <protection locked="0"/>
      </dxf>
    </rfmt>
    <rfmt sheetId="8" s="1" sqref="G118" start="0" length="0">
      <dxf>
        <font>
          <sz val="11"/>
          <color theme="1"/>
          <name val="Calibri"/>
          <scheme val="minor"/>
        </font>
        <numFmt numFmtId="167" formatCode="_-* #,##0.00_-;\-* #,##0.00_-;_-* &quot;-&quot;??_-;_-@_-"/>
        <alignment horizontal="center" vertical="center" readingOrder="0"/>
        <border outline="0">
          <right style="thin">
            <color indexed="64"/>
          </right>
          <bottom style="thin">
            <color indexed="64"/>
          </bottom>
        </border>
        <protection locked="0"/>
      </dxf>
    </rfmt>
    <rfmt sheetId="8" s="1" sqref="H118" start="0" length="0">
      <dxf>
        <font>
          <sz val="11"/>
          <color theme="1"/>
          <name val="Calibri"/>
          <scheme val="minor"/>
        </font>
        <numFmt numFmtId="167" formatCode="_-* #,##0.00_-;\-* #,##0.00_-;_-* &quot;-&quot;??_-;_-@_-"/>
        <alignment horizontal="center" vertical="center" readingOrder="0"/>
        <border outline="0">
          <right style="medium">
            <color indexed="64"/>
          </right>
          <bottom style="thin">
            <color indexed="64"/>
          </bottom>
        </border>
        <protection locked="0"/>
      </dxf>
    </rfmt>
    <rfmt sheetId="8" s="1" sqref="I118" start="0" length="0">
      <dxf>
        <font>
          <sz val="10"/>
          <color auto="1"/>
          <name val="Arial"/>
          <scheme val="none"/>
        </font>
      </dxf>
    </rfmt>
    <rfmt sheetId="8" s="1" sqref="J118" start="0" length="0">
      <dxf>
        <font>
          <sz val="10"/>
          <color auto="1"/>
          <name val="Arial"/>
          <scheme val="none"/>
        </font>
      </dxf>
    </rfmt>
    <rfmt sheetId="8" s="1" sqref="K118" start="0" length="0">
      <dxf>
        <font>
          <sz val="10"/>
          <color auto="1"/>
          <name val="Arial"/>
          <scheme val="none"/>
        </font>
      </dxf>
    </rfmt>
    <rfmt sheetId="8" s="1" sqref="L118" start="0" length="0">
      <dxf>
        <font>
          <sz val="10"/>
          <color auto="1"/>
          <name val="Arial"/>
          <scheme val="none"/>
        </font>
      </dxf>
    </rfmt>
    <rfmt sheetId="8" s="1" sqref="M118" start="0" length="0">
      <dxf>
        <font>
          <sz val="10"/>
          <color auto="1"/>
          <name val="Arial"/>
          <scheme val="none"/>
        </font>
      </dxf>
    </rfmt>
    <rfmt sheetId="8" s="1" sqref="N118" start="0" length="0">
      <dxf>
        <font>
          <sz val="10"/>
          <color auto="1"/>
          <name val="Arial"/>
          <scheme val="none"/>
        </font>
      </dxf>
    </rfmt>
    <rfmt sheetId="8" s="1" sqref="O118" start="0" length="0">
      <dxf>
        <font>
          <sz val="10"/>
          <color auto="1"/>
          <name val="Arial"/>
          <scheme val="none"/>
        </font>
      </dxf>
    </rfmt>
  </rrc>
  <rrc rId="554" sId="8" ref="A118:XFD118" action="deleteRow">
    <rfmt sheetId="8" xfDxf="1" sqref="A118:XFD118" start="0" length="0"/>
    <rfmt sheetId="8" s="1" sqref="A118" start="0" length="0">
      <dxf>
        <font>
          <sz val="11"/>
          <color theme="1"/>
          <name val="Calibri"/>
          <scheme val="minor"/>
        </font>
        <fill>
          <patternFill patternType="solid">
            <bgColor theme="0" tint="-0.249977111117893"/>
          </patternFill>
        </fill>
        <alignment wrapText="1" readingOrder="0"/>
        <border outline="0">
          <left style="medium">
            <color indexed="64"/>
          </left>
          <top style="thin">
            <color indexed="64"/>
          </top>
          <bottom style="thin">
            <color indexed="64"/>
          </bottom>
        </border>
        <protection locked="0"/>
      </dxf>
    </rfmt>
    <rfmt sheetId="8" s="1" sqref="B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C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D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E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F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G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top style="thin">
            <color indexed="64"/>
          </top>
          <bottom style="thin">
            <color indexed="64"/>
          </bottom>
        </border>
        <protection locked="0"/>
      </dxf>
    </rfmt>
    <rfmt sheetId="8" s="1" sqref="H118" start="0" length="0">
      <dxf>
        <font>
          <sz val="11"/>
          <color theme="1"/>
          <name val="Calibri"/>
          <scheme val="minor"/>
        </font>
        <numFmt numFmtId="167" formatCode="_-* #,##0.00_-;\-* #,##0.00_-;_-* &quot;-&quot;??_-;_-@_-"/>
        <fill>
          <patternFill patternType="solid">
            <bgColor theme="0" tint="-0.249977111117893"/>
          </patternFill>
        </fill>
        <alignment horizontal="center" vertical="center" readingOrder="0"/>
        <border outline="0">
          <right style="medium">
            <color indexed="64"/>
          </right>
          <top style="thin">
            <color indexed="64"/>
          </top>
          <bottom style="thin">
            <color indexed="64"/>
          </bottom>
        </border>
        <protection locked="0"/>
      </dxf>
    </rfmt>
    <rfmt sheetId="8" s="1" sqref="I118" start="0" length="0">
      <dxf>
        <font>
          <sz val="10"/>
          <color auto="1"/>
          <name val="Arial"/>
          <scheme val="none"/>
        </font>
      </dxf>
    </rfmt>
    <rfmt sheetId="8" s="1" sqref="J118" start="0" length="0">
      <dxf>
        <font>
          <sz val="10"/>
          <color auto="1"/>
          <name val="Arial"/>
          <scheme val="none"/>
        </font>
      </dxf>
    </rfmt>
    <rfmt sheetId="8" s="1" sqref="K118" start="0" length="0">
      <dxf>
        <font>
          <sz val="10"/>
          <color auto="1"/>
          <name val="Arial"/>
          <scheme val="none"/>
        </font>
      </dxf>
    </rfmt>
    <rfmt sheetId="8" s="1" sqref="L118" start="0" length="0">
      <dxf>
        <font>
          <sz val="10"/>
          <color auto="1"/>
          <name val="Arial"/>
          <scheme val="none"/>
        </font>
      </dxf>
    </rfmt>
    <rfmt sheetId="8" s="1" sqref="M118" start="0" length="0">
      <dxf>
        <font>
          <sz val="10"/>
          <color auto="1"/>
          <name val="Arial"/>
          <scheme val="none"/>
        </font>
      </dxf>
    </rfmt>
    <rfmt sheetId="8" s="1" sqref="N118" start="0" length="0">
      <dxf>
        <font>
          <sz val="10"/>
          <color auto="1"/>
          <name val="Arial"/>
          <scheme val="none"/>
        </font>
      </dxf>
    </rfmt>
    <rfmt sheetId="8" s="1" sqref="O118" start="0" length="0">
      <dxf>
        <font>
          <sz val="10"/>
          <color auto="1"/>
          <name val="Arial"/>
          <scheme val="none"/>
        </font>
      </dxf>
    </rfmt>
  </rrc>
  <rrc rId="555" sId="8" ref="A118:XFD118" action="deleteRow">
    <rfmt sheetId="8" xfDxf="1" sqref="A118:XFD118" start="0" length="0"/>
    <rcc rId="0" sId="8" s="1" dxf="1">
      <nc r="A118" t="inlineStr">
        <is>
          <t>Amount used for CDM threshold for LRAMVA (2016)</t>
        </is>
      </nc>
      <ndxf>
        <font>
          <sz val="11"/>
          <color theme="1"/>
          <name val="Calibri"/>
          <scheme val="minor"/>
        </font>
        <alignment wrapText="1" readingOrder="0"/>
        <border outline="0">
          <left style="medium">
            <color indexed="64"/>
          </left>
          <right style="thin">
            <color indexed="64"/>
          </right>
          <top style="thin">
            <color indexed="64"/>
          </top>
          <bottom style="double">
            <color indexed="64"/>
          </bottom>
        </border>
        <protection locked="0"/>
      </ndxf>
    </rcc>
    <rfmt sheetId="8" s="1" sqref="B118" start="0" length="0">
      <dxf>
        <font>
          <sz val="11"/>
          <color theme="1"/>
          <name val="Calibri"/>
          <scheme val="minor"/>
        </font>
        <numFmt numFmtId="167" formatCode="_-* #,##0.00_-;\-* #,##0.00_-;_-* &quot;-&quot;??_-;_-@_-"/>
        <alignment horizontal="center" vertical="center" readingOrder="0"/>
        <border outline="0">
          <top style="thin">
            <color indexed="64"/>
          </top>
        </border>
        <protection locked="0"/>
      </dxf>
    </rfmt>
    <rfmt sheetId="8" s="1" sqref="C118" start="0" length="0">
      <dxf>
        <font>
          <sz val="11"/>
          <color theme="1"/>
          <name val="Calibri"/>
          <scheme val="minor"/>
        </font>
        <numFmt numFmtId="167" formatCode="_-* #,##0.00_-;\-* #,##0.00_-;_-* &quot;-&quot;??_-;_-@_-"/>
        <alignment horizontal="center" vertical="center" readingOrder="0"/>
        <border outline="0">
          <top style="thin">
            <color indexed="64"/>
          </top>
          <bottom style="double">
            <color indexed="64"/>
          </bottom>
        </border>
        <protection locked="0"/>
      </dxf>
    </rfmt>
    <rfmt sheetId="8" s="1" sqref="D118" start="0" length="0">
      <dxf>
        <font>
          <sz val="11"/>
          <color theme="1"/>
          <name val="Calibri"/>
          <scheme val="minor"/>
        </font>
        <numFmt numFmtId="167" formatCode="_-* #,##0.00_-;\-* #,##0.00_-;_-* &quot;-&quot;??_-;_-@_-"/>
        <alignment horizontal="center" vertical="center" readingOrder="0"/>
        <border outline="0">
          <top style="thin">
            <color indexed="64"/>
          </top>
          <bottom style="double">
            <color indexed="64"/>
          </bottom>
        </border>
        <protection locked="0"/>
      </dxf>
    </rfmt>
    <rcc rId="0" sId="8" s="1" dxf="1" numFmtId="34">
      <nc r="E118">
        <v>35997464</v>
      </nc>
      <ndxf>
        <font>
          <sz val="11"/>
          <color theme="1"/>
          <name val="Calibri"/>
          <scheme val="minor"/>
        </font>
        <numFmt numFmtId="167" formatCode="_-* #,##0.00_-;\-* #,##0.00_-;_-* &quot;-&quot;??_-;_-@_-"/>
        <alignment horizontal="center" vertical="center" readingOrder="0"/>
        <border outline="0">
          <top style="thin">
            <color indexed="64"/>
          </top>
          <bottom style="double">
            <color indexed="64"/>
          </bottom>
        </border>
        <protection locked="0"/>
      </ndxf>
    </rcc>
    <rcc rId="0" sId="8" s="1" dxf="1" numFmtId="34">
      <nc r="F118">
        <v>0</v>
      </nc>
      <ndxf>
        <font>
          <sz val="11"/>
          <color theme="1"/>
          <name val="Calibri"/>
          <scheme val="minor"/>
        </font>
        <numFmt numFmtId="167" formatCode="_-* #,##0.00_-;\-* #,##0.00_-;_-* &quot;-&quot;??_-;_-@_-"/>
        <alignment horizontal="center" vertical="center" readingOrder="0"/>
        <border outline="0">
          <top style="thin">
            <color indexed="64"/>
          </top>
          <bottom style="double">
            <color indexed="64"/>
          </bottom>
        </border>
        <protection locked="0"/>
      </ndxf>
    </rcc>
    <rcc rId="0" sId="8" s="1" dxf="1" numFmtId="34">
      <nc r="G118">
        <v>7730071.7124323156</v>
      </nc>
      <ndxf>
        <font>
          <sz val="11"/>
          <color theme="1"/>
          <name val="Calibri"/>
          <scheme val="minor"/>
        </font>
        <numFmt numFmtId="167" formatCode="_-* #,##0.00_-;\-* #,##0.00_-;_-* &quot;-&quot;??_-;_-@_-"/>
        <alignment horizontal="center" vertical="center" readingOrder="0"/>
        <border outline="0">
          <right style="thin">
            <color indexed="64"/>
          </right>
          <top style="thin">
            <color indexed="64"/>
          </top>
        </border>
        <protection locked="0"/>
      </ndxf>
    </rcc>
    <rcc rId="0" sId="8" s="1" dxf="1" numFmtId="34">
      <nc r="H118">
        <v>43727535.712432317</v>
      </nc>
      <ndxf>
        <font>
          <sz val="11"/>
          <color theme="1"/>
          <name val="Calibri"/>
          <scheme val="minor"/>
        </font>
        <numFmt numFmtId="167" formatCode="_-* #,##0.00_-;\-* #,##0.00_-;_-* &quot;-&quot;??_-;_-@_-"/>
        <alignment horizontal="center" vertical="center" readingOrder="0"/>
        <border outline="0">
          <right style="medium">
            <color indexed="64"/>
          </right>
          <top style="thin">
            <color indexed="64"/>
          </top>
        </border>
        <protection locked="0"/>
      </ndxf>
    </rcc>
    <rfmt sheetId="8" s="1" sqref="I118" start="0" length="0">
      <dxf>
        <font>
          <sz val="10"/>
          <color auto="1"/>
          <name val="Arial"/>
          <scheme val="none"/>
        </font>
      </dxf>
    </rfmt>
    <rfmt sheetId="8" s="1" sqref="J118" start="0" length="0">
      <dxf>
        <font>
          <sz val="10"/>
          <color auto="1"/>
          <name val="Arial"/>
          <scheme val="none"/>
        </font>
      </dxf>
    </rfmt>
    <rfmt sheetId="8" s="1" sqref="K118" start="0" length="0">
      <dxf>
        <font>
          <sz val="10"/>
          <color auto="1"/>
          <name val="Arial"/>
          <scheme val="none"/>
        </font>
      </dxf>
    </rfmt>
    <rfmt sheetId="8" s="1" sqref="L118" start="0" length="0">
      <dxf>
        <font>
          <sz val="10"/>
          <color auto="1"/>
          <name val="Arial"/>
          <scheme val="none"/>
        </font>
      </dxf>
    </rfmt>
    <rfmt sheetId="8" s="1" sqref="M118" start="0" length="0">
      <dxf>
        <font>
          <sz val="10"/>
          <color auto="1"/>
          <name val="Arial"/>
          <scheme val="none"/>
        </font>
      </dxf>
    </rfmt>
    <rfmt sheetId="8" s="1" sqref="N118" start="0" length="0">
      <dxf>
        <font>
          <sz val="10"/>
          <color auto="1"/>
          <name val="Arial"/>
          <scheme val="none"/>
        </font>
      </dxf>
    </rfmt>
    <rfmt sheetId="8" s="1" sqref="O118" start="0" length="0">
      <dxf>
        <font>
          <sz val="10"/>
          <color auto="1"/>
          <name val="Arial"/>
          <scheme val="none"/>
        </font>
      </dxf>
    </rfmt>
  </rrc>
  <rfmt sheetId="8" sqref="A119" start="0" length="0">
    <dxf>
      <font>
        <sz val="11"/>
        <color theme="1"/>
        <name val="Calibri"/>
        <scheme val="minor"/>
      </font>
    </dxf>
  </rfmt>
  <rcc rId="556" sId="8" odxf="1" dxf="1">
    <oc r="A116" t="inlineStr">
      <is>
        <t>Amount used for CDM threshold for LRAMVA (2014)</t>
      </is>
    </oc>
    <nc r="A116" t="inlineStr">
      <is>
        <t>Amount used for CDM threshold for LRAMVA (2017)</t>
      </is>
    </nc>
    <odxf>
      <font>
        <sz val="11"/>
        <color theme="1"/>
        <name val="Calibri"/>
        <scheme val="minor"/>
      </font>
    </odxf>
    <ndxf>
      <font>
        <sz val="11"/>
        <color theme="1"/>
        <name val="Calibri"/>
        <scheme val="minor"/>
      </font>
    </ndxf>
  </rcc>
  <rcc rId="557" sId="8">
    <oc r="A119" t="inlineStr">
      <is>
        <t>Manual Adjustment for 2016 Load Forecast (billed basis)</t>
      </is>
    </oc>
    <nc r="A119" t="inlineStr">
      <is>
        <t>Manual Adjustment for 2017Load Forecast (billed basis)</t>
      </is>
    </nc>
  </rcc>
  <rrc rId="558" sId="8" ref="A116:XFD116" action="insertRow"/>
  <rfmt sheetId="8" sqref="A116" start="0" length="0">
    <dxf>
      <fill>
        <patternFill patternType="solid">
          <bgColor theme="0" tint="-0.249977111117893"/>
        </patternFill>
      </fill>
      <alignment vertical="top" wrapText="1" readingOrder="0"/>
      <border outline="0">
        <right/>
        <top style="thin">
          <color indexed="64"/>
        </top>
        <bottom style="thin">
          <color indexed="64"/>
        </bottom>
      </border>
    </dxf>
  </rfmt>
  <rfmt sheetId="8" sqref="B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C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D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E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F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G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fmt sheetId="8" sqref="H116" start="0" length="0">
    <dxf>
      <font>
        <b val="0"/>
        <sz val="11"/>
        <color theme="1"/>
        <name val="Calibri"/>
        <scheme val="minor"/>
      </font>
      <numFmt numFmtId="167" formatCode="_-* #,##0.00_-;\-* #,##0.00_-;_-* &quot;-&quot;??_-;_-@_-"/>
      <fill>
        <patternFill>
          <bgColor theme="0" tint="-0.249977111117893"/>
        </patternFill>
      </fill>
      <alignment horizontal="center" vertical="center" readingOrder="0"/>
      <border outline="0">
        <top style="thin">
          <color indexed="64"/>
        </top>
        <bottom style="thin">
          <color indexed="64"/>
        </bottom>
      </border>
    </dxf>
  </rfmt>
  <rrc rId="559" sId="8" ref="A118:XFD118" action="deleteRow">
    <undo index="0" exp="ref" v="1" dr="G118" r="G120" sId="8"/>
    <undo index="0" exp="ref" v="1" dr="F118" r="F120" sId="8"/>
    <rfmt sheetId="8" xfDxf="1" sqref="A118:XFD118" start="0" length="0"/>
    <rfmt sheetId="8" s="1" sqref="A118" start="0" length="0">
      <dxf>
        <font>
          <sz val="11"/>
          <color theme="1"/>
          <name val="Calibri"/>
          <scheme val="minor"/>
        </font>
        <alignment wrapText="1" readingOrder="0"/>
        <border outline="0">
          <left style="medium">
            <color indexed="64"/>
          </left>
          <right style="thin">
            <color indexed="64"/>
          </right>
        </border>
        <protection locked="0"/>
      </dxf>
    </rfmt>
    <rfmt sheetId="8" s="1" sqref="B118" start="0" length="0">
      <dxf>
        <font>
          <sz val="11"/>
          <color theme="1"/>
          <name val="Calibri"/>
          <scheme val="minor"/>
        </font>
        <numFmt numFmtId="167" formatCode="_-* #,##0.00_-;\-* #,##0.00_-;_-* &quot;-&quot;??_-;_-@_-"/>
        <alignment horizontal="center" vertical="center" readingOrder="0"/>
        <protection locked="0"/>
      </dxf>
    </rfmt>
    <rfmt sheetId="8" s="1" sqref="C118" start="0" length="0">
      <dxf>
        <font>
          <sz val="11"/>
          <color theme="1"/>
          <name val="Calibri"/>
          <scheme val="minor"/>
        </font>
        <numFmt numFmtId="167" formatCode="_-* #,##0.00_-;\-* #,##0.00_-;_-* &quot;-&quot;??_-;_-@_-"/>
        <alignment horizontal="center" vertical="center" readingOrder="0"/>
        <protection locked="0"/>
      </dxf>
    </rfmt>
    <rfmt sheetId="8" s="1" sqref="D118" start="0" length="0">
      <dxf>
        <font>
          <sz val="11"/>
          <color theme="1"/>
          <name val="Calibri"/>
          <scheme val="minor"/>
        </font>
        <numFmt numFmtId="167" formatCode="_-* #,##0.00_-;\-* #,##0.00_-;_-* &quot;-&quot;??_-;_-@_-"/>
        <alignment horizontal="center" vertical="center" readingOrder="0"/>
        <protection locked="0"/>
      </dxf>
    </rfmt>
    <rfmt sheetId="8" s="1" sqref="E118" start="0" length="0">
      <dxf>
        <font>
          <sz val="11"/>
          <color theme="1"/>
          <name val="Calibri"/>
          <scheme val="minor"/>
        </font>
        <numFmt numFmtId="167" formatCode="_-* #,##0.00_-;\-* #,##0.00_-;_-* &quot;-&quot;??_-;_-@_-"/>
        <alignment horizontal="center" vertical="center" readingOrder="0"/>
        <protection locked="0"/>
      </dxf>
    </rfmt>
    <rfmt sheetId="8" s="1" sqref="F118" start="0" length="0">
      <dxf>
        <font>
          <sz val="11"/>
          <color theme="1"/>
          <name val="Calibri"/>
          <scheme val="minor"/>
        </font>
        <numFmt numFmtId="167" formatCode="_-* #,##0.00_-;\-* #,##0.00_-;_-* &quot;-&quot;??_-;_-@_-"/>
        <alignment horizontal="center" vertical="center" readingOrder="0"/>
        <protection locked="0"/>
      </dxf>
    </rfmt>
    <rfmt sheetId="8" s="1" sqref="G118" start="0" length="0">
      <dxf>
        <font>
          <sz val="11"/>
          <color theme="1"/>
          <name val="Calibri"/>
          <scheme val="minor"/>
        </font>
        <numFmt numFmtId="167" formatCode="_-* #,##0.00_-;\-* #,##0.00_-;_-* &quot;-&quot;??_-;_-@_-"/>
        <alignment horizontal="center" vertical="center" readingOrder="0"/>
        <border outline="0">
          <right style="thin">
            <color indexed="64"/>
          </right>
        </border>
        <protection locked="0"/>
      </dxf>
    </rfmt>
    <rfmt sheetId="8" s="1" sqref="H118" start="0" length="0">
      <dxf>
        <font>
          <sz val="11"/>
          <color theme="1"/>
          <name val="Calibri"/>
          <scheme val="minor"/>
        </font>
        <numFmt numFmtId="167" formatCode="_-* #,##0.00_-;\-* #,##0.00_-;_-* &quot;-&quot;??_-;_-@_-"/>
        <alignment horizontal="center" vertical="center" readingOrder="0"/>
        <border outline="0">
          <right style="medium">
            <color indexed="64"/>
          </right>
        </border>
        <protection locked="0"/>
      </dxf>
    </rfmt>
    <rfmt sheetId="8" s="1" sqref="I118" start="0" length="0">
      <dxf>
        <font>
          <sz val="10"/>
          <color auto="1"/>
          <name val="Arial"/>
          <scheme val="none"/>
        </font>
      </dxf>
    </rfmt>
    <rfmt sheetId="8" s="1" sqref="J118" start="0" length="0">
      <dxf>
        <font>
          <sz val="10"/>
          <color auto="1"/>
          <name val="Arial"/>
          <scheme val="none"/>
        </font>
      </dxf>
    </rfmt>
    <rfmt sheetId="8" s="1" sqref="K118" start="0" length="0">
      <dxf>
        <font>
          <sz val="10"/>
          <color auto="1"/>
          <name val="Arial"/>
          <scheme val="none"/>
        </font>
      </dxf>
    </rfmt>
    <rfmt sheetId="8" s="1" sqref="L118" start="0" length="0">
      <dxf>
        <font>
          <sz val="10"/>
          <color auto="1"/>
          <name val="Arial"/>
          <scheme val="none"/>
        </font>
      </dxf>
    </rfmt>
    <rfmt sheetId="8" s="1" sqref="M118" start="0" length="0">
      <dxf>
        <font>
          <sz val="10"/>
          <color auto="1"/>
          <name val="Arial"/>
          <scheme val="none"/>
        </font>
      </dxf>
    </rfmt>
    <rfmt sheetId="8" s="1" sqref="N118" start="0" length="0">
      <dxf>
        <font>
          <sz val="10"/>
          <color auto="1"/>
          <name val="Arial"/>
          <scheme val="none"/>
        </font>
      </dxf>
    </rfmt>
    <rfmt sheetId="8" s="1" sqref="O118" start="0" length="0">
      <dxf>
        <font>
          <sz val="10"/>
          <color auto="1"/>
          <name val="Arial"/>
          <scheme val="none"/>
        </font>
      </dxf>
    </rfmt>
  </rrc>
  <rcc rId="560" sId="8">
    <oc r="F119">
      <v>0</v>
    </oc>
    <nc r="F119">
      <f>F117*0.75</f>
    </nc>
  </rcc>
  <rcc rId="561" sId="8">
    <oc r="G119">
      <v>3865035.8562161578</v>
    </oc>
    <nc r="G119">
      <f>G117*0.5</f>
    </nc>
  </rcc>
  <rcc rId="562" sId="8" numFmtId="14">
    <oc r="B121">
      <v>3.49E-2</v>
    </oc>
    <nc r="B121" t="inlineStr">
      <is>
        <t>N/A</t>
      </is>
    </nc>
  </rcc>
  <rcc rId="563" sId="8" numFmtId="34">
    <oc r="G122">
      <v>3999925.6075981013</v>
    </oc>
    <nc r="G122"/>
  </rcc>
  <rcc rId="564" sId="8" numFmtId="34">
    <oc r="H122">
      <v>3999925.6075981013</v>
    </oc>
    <nc r="H122">
      <f>SUM(B122:G122)</f>
    </nc>
  </rcc>
  <rcc rId="565" sId="8">
    <nc r="H117">
      <f>SUM(F117:G117)</f>
    </nc>
  </rcc>
  <rcc rId="566" sId="8" numFmtId="34">
    <oc r="H119">
      <v>3865035.8562161578</v>
    </oc>
    <nc r="H119">
      <f>SUM(B119:G119)</f>
    </nc>
  </rcc>
  <rcv guid="{AE01795C-0F1A-4D22-B411-4CB1D681CFC8}" action="delete"/>
  <rcv guid="{AE01795C-0F1A-4D22-B411-4CB1D681CFC8}"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7" sId="15" numFmtId="34">
    <oc r="E48">
      <f>'R:\2017 Cost of Service\Settlement Proposal\Update Cost of Power\Cost of Capital Changes\Sent to Intervenors\models\[2016 01 19 Rate Design Model_FINAL - Settlement Proposal Updated.xlsx]Cost Allocation Study'!K5</f>
    </oc>
    <nc r="E48">
      <v>10072165.721353298</v>
    </nc>
  </rcc>
  <rcc rId="568" sId="15" numFmtId="34">
    <oc r="E49">
      <f>'R:\2017 Cost of Service\Settlement Proposal\Update Cost of Power\Cost of Capital Changes\Sent to Intervenors\models\[2016 01 19 Rate Design Model_FINAL - Settlement Proposal Updated.xlsx]Cost Allocation Study'!$K$6</f>
    </oc>
    <nc r="E49">
      <v>1839732.6215187737</v>
    </nc>
  </rcc>
  <rcc rId="569" sId="15" numFmtId="34">
    <oc r="E50">
      <f>'R:\2017 Cost of Service\Settlement Proposal\Update Cost of Power\Cost of Capital Changes\Sent to Intervenors\models\[2016 01 19 Rate Design Model_FINAL - Settlement Proposal Updated.xlsx]Cost Allocation Study'!$K$7</f>
    </oc>
    <nc r="E50">
      <v>4621191.6840885989</v>
    </nc>
  </rcc>
  <rcc rId="570" sId="15" numFmtId="34">
    <oc r="E53">
      <f>'R:\2017 Cost of Service\Settlement Proposal\Update Cost of Power\Cost of Capital Changes\Sent to Intervenors\models\[2016 01 19 Rate Design Model_FINAL - Settlement Proposal Updated.xlsx]Cost Allocation Study'!$K$8</f>
    </oc>
    <nc r="E53">
      <v>235549.94734009379</v>
    </nc>
  </rcc>
  <rcc rId="571" sId="15" numFmtId="34">
    <oc r="E54">
      <f>'R:\2017 Cost of Service\Settlement Proposal\Update Cost of Power\Cost of Capital Changes\Sent to Intervenors\models\[2016 01 19 Rate Design Model_FINAL - Settlement Proposal Updated.xlsx]Cost Allocation Study'!$K$10</f>
    </oc>
    <nc r="E54">
      <v>52685.667086708199</v>
    </nc>
  </rcc>
  <rcc rId="572" sId="15" numFmtId="34">
    <oc r="E55">
      <f>'R:\2017 Cost of Service\Settlement Proposal\Update Cost of Power\Cost of Capital Changes\Sent to Intervenors\models\[2016 01 19 Rate Design Model_FINAL - Settlement Proposal Updated.xlsx]Cost Allocation Study'!$K$11</f>
    </oc>
    <nc r="E55">
      <v>78003.297027164852</v>
    </nc>
  </rcc>
  <rcc rId="573" sId="15" numFmtId="34">
    <oc r="E58">
      <f>'R:\2017 Cost of Service\Settlement Proposal\Update Cost of Power\Cost of Capital Changes\Sent to Intervenors\models\[2016 01 19 Rate Design Model_FINAL - Settlement Proposal Updated.xlsx]Cost Allocation Study'!$K$12</f>
    </oc>
    <nc r="E58">
      <v>199626.18567640785</v>
    </nc>
  </rcc>
  <rcc rId="574" sId="16" numFmtId="34">
    <oc r="B20">
      <f>'R:\2017 Cost of Service\Settlement Proposal\Update Cost of Power\Cost of Capital Changes\Sent to Intervenors\models\[2016 01 19 Rate Design Model_FINAL - Settlement Proposal Updated.xlsx]Cost Allocation Study'!$K$5</f>
    </oc>
    <nc r="B20">
      <v>10072165.721353298</v>
    </nc>
  </rcc>
  <rcc rId="575" sId="19" numFmtId="34">
    <oc r="M15">
      <f>'R:\2017 Cost of Service\Settlement Proposal\Update Cost of Power\Cost of Capital Changes\Sent to Intervenors\models\[2016 01 19 Rate Design Model_FINAL - Settlement Proposal Updated.xlsx]Cost Allocation Study'!$K$5</f>
    </oc>
    <nc r="M15">
      <v>10072165.721353298</v>
    </nc>
  </rcc>
  <rcc rId="576" sId="19" numFmtId="34">
    <oc r="M16">
      <f>'R:\2017 Cost of Service\Settlement Proposal\Update Cost of Power\Cost of Capital Changes\Sent to Intervenors\models\[2016 01 19 Rate Design Model_FINAL - Settlement Proposal Updated.xlsx]Cost Allocation Study'!$K$6</f>
    </oc>
    <nc r="M16">
      <v>1839732.6215187737</v>
    </nc>
  </rcc>
  <rcc rId="577" sId="19" numFmtId="34">
    <oc r="M17">
      <f>'R:\2017 Cost of Service\Settlement Proposal\Update Cost of Power\Cost of Capital Changes\Sent to Intervenors\models\[2016 01 19 Rate Design Model_FINAL - Settlement Proposal Updated.xlsx]Cost Allocation Study'!$K$7</f>
    </oc>
    <nc r="M17">
      <v>4621191.6840885989</v>
    </nc>
  </rcc>
  <rcc rId="578" sId="19" numFmtId="34">
    <oc r="M19">
      <f>'R:\2017 Cost of Service\Settlement Proposal\Update Cost of Power\Cost of Capital Changes\Sent to Intervenors\models\[2016 01 19 Rate Design Model_FINAL - Settlement Proposal Updated.xlsx]Cost Allocation Study'!$K$8</f>
    </oc>
    <nc r="M19">
      <v>235549.94734009379</v>
    </nc>
  </rcc>
  <rcc rId="579" sId="19" numFmtId="34">
    <oc r="M20">
      <f>'R:\2017 Cost of Service\Settlement Proposal\Update Cost of Power\Cost of Capital Changes\Sent to Intervenors\models\[2016 01 19 Rate Design Model_FINAL - Settlement Proposal Updated.xlsx]Cost Allocation Study'!$K$10</f>
    </oc>
    <nc r="M20">
      <v>52685.667086708199</v>
    </nc>
  </rcc>
  <rcc rId="580" sId="19" numFmtId="34">
    <oc r="M21">
      <f>'R:\2017 Cost of Service\Settlement Proposal\Update Cost of Power\Cost of Capital Changes\Sent to Intervenors\models\[2016 01 19 Rate Design Model_FINAL - Settlement Proposal Updated.xlsx]Cost Allocation Study'!$K$11</f>
    </oc>
    <nc r="M21">
      <v>78003.297027164852</v>
    </nc>
  </rcc>
  <rcc rId="581" sId="19" numFmtId="34">
    <oc r="M23">
      <f>'R:\2017 Cost of Service\Settlement Proposal\Update Cost of Power\Cost of Capital Changes\Sent to Intervenors\models\[2016 01 19 Rate Design Model_FINAL - Settlement Proposal Updated.xlsx]Cost Allocation Study'!$K$12</f>
    </oc>
    <nc r="M23">
      <v>199626.18567640785</v>
    </nc>
  </rcc>
  <rcc rId="582" sId="19" numFmtId="34">
    <oc r="C15">
      <f>'R:\2017 Cost of Service\Settlement Proposal\Update Cost of Power\Cost of Capital Changes\Sent to Intervenors\models\[2016 01 19 Rate Design Model_FINAL - Settlement Proposal Updated.xlsx]Forecast Data For 2017'!$C$5</f>
    </oc>
    <nc r="C15">
      <v>36432.680734342255</v>
    </nc>
  </rcc>
  <rcc rId="583" sId="19" numFmtId="34">
    <oc r="F15">
      <f>'R:\2017 Cost of Service\Settlement Proposal\Update Cost of Power\Cost of Capital Changes\Sent to Intervenors\models\[2016 01 19 Rate Design Model_FINAL - Settlement Proposal Updated.xlsx]Forecast Data For 2017'!$C$6</f>
    </oc>
    <nc r="F15">
      <v>301593274.34950149</v>
    </nc>
  </rcc>
  <rcc rId="584" sId="19" numFmtId="34">
    <oc r="C16">
      <f>'R:\2017 Cost of Service\Settlement Proposal\Update Cost of Power\Cost of Capital Changes\Sent to Intervenors\models\[2016 01 19 Rate Design Model_FINAL - Settlement Proposal Updated.xlsx]Forecast Data For 2017'!$C$7</f>
    </oc>
    <nc r="C16">
      <v>2839.8399223469046</v>
    </nc>
  </rcc>
  <rcc rId="585" sId="19" numFmtId="34">
    <oc r="F16">
      <f>'R:\2017 Cost of Service\Settlement Proposal\Update Cost of Power\Cost of Capital Changes\Sent to Intervenors\models\[2016 01 19 Rate Design Model_FINAL - Settlement Proposal Updated.xlsx]Forecast Data For 2017'!$C$8</f>
    </oc>
    <nc r="F16">
      <v>103442406.59496056</v>
    </nc>
  </rcc>
  <rcc rId="586" sId="19" numFmtId="34">
    <oc r="C17">
      <f>'R:\2017 Cost of Service\Settlement Proposal\Update Cost of Power\Cost of Capital Changes\Sent to Intervenors\models\[2016 01 19 Rate Design Model_FINAL - Settlement Proposal Updated.xlsx]Forecast Data For 2017'!$C$9</f>
    </oc>
    <nc r="C17">
      <v>448.67239043007072</v>
    </nc>
  </rcc>
  <rcc rId="587" sId="19" numFmtId="34">
    <oc r="G17">
      <f>'R:\2017 Cost of Service\Settlement Proposal\Update Cost of Power\Cost of Capital Changes\Sent to Intervenors\models\[2016 01 19 Rate Design Model_FINAL - Settlement Proposal Updated.xlsx]Forecast Data For 2017'!$C$10</f>
    </oc>
    <nc r="G17">
      <v>1342820.9132025344</v>
    </nc>
  </rcc>
  <rcc rId="588" sId="19" numFmtId="34">
    <oc r="C19">
      <f>'R:\2017 Cost of Service\Settlement Proposal\Update Cost of Power\Cost of Capital Changes\Sent to Intervenors\models\[2016 01 19 Rate Design Model_FINAL - Settlement Proposal Updated.xlsx]Forecast Data For 2017'!$C$12</f>
    </oc>
    <nc r="C19">
      <v>5848.7835619252273</v>
    </nc>
  </rcc>
  <rcc rId="589" sId="19" numFmtId="34">
    <oc r="G19">
      <f>'R:\2017 Cost of Service\Settlement Proposal\Update Cost of Power\Cost of Capital Changes\Sent to Intervenors\models\[2016 01 19 Rate Design Model_FINAL - Settlement Proposal Updated.xlsx]Forecast Data For 2017'!$C$13</f>
    </oc>
    <nc r="G19">
      <v>22796.276919161843</v>
    </nc>
  </rcc>
  <rcc rId="590" sId="19" numFmtId="34">
    <oc r="C20">
      <f>'R:\2017 Cost of Service\Settlement Proposal\Update Cost of Power\Cost of Capital Changes\Sent to Intervenors\models\[2016 01 19 Rate Design Model_FINAL - Settlement Proposal Updated.xlsx]Forecast Data For 2017'!$C$18</f>
    </oc>
    <nc r="C20">
      <v>597.17737195173459</v>
    </nc>
  </rcc>
  <rcc rId="591" sId="19" numFmtId="34">
    <oc r="G20">
      <f>'R:\2017 Cost of Service\Settlement Proposal\Update Cost of Power\Cost of Capital Changes\Sent to Intervenors\models\[2016 01 19 Rate Design Model_FINAL - Settlement Proposal Updated.xlsx]Forecast Data For 2017'!$C$19</f>
    </oc>
    <nc r="G20">
      <v>1155.3902232238072</v>
    </nc>
  </rcc>
  <rcc rId="592" sId="19" numFmtId="34">
    <oc r="C21">
      <f>'R:\2017 Cost of Service\Settlement Proposal\Update Cost of Power\Cost of Capital Changes\Sent to Intervenors\models\[2016 01 19 Rate Design Model_FINAL - Settlement Proposal Updated.xlsx]Forecast Data For 2017'!$C$21</f>
    </oc>
    <nc r="C21">
      <v>425.13349971298322</v>
    </nc>
  </rcc>
  <rcc rId="593" sId="19" numFmtId="34">
    <oc r="F21">
      <f>'R:\2017 Cost of Service\Settlement Proposal\Update Cost of Power\Cost of Capital Changes\Sent to Intervenors\models\[2016 01 19 Rate Design Model_FINAL - Settlement Proposal Updated.xlsx]Forecast Data For 2017'!$C$22</f>
    </oc>
    <nc r="F21">
      <v>1405153.9196494406</v>
    </nc>
  </rcc>
  <rcc rId="594" sId="19" numFmtId="34">
    <oc r="C23">
      <f>'R:\2017 Cost of Service\Settlement Proposal\Update Cost of Power\Cost of Capital Changes\Sent to Intervenors\models\[2016 01 19 Rate Design Model_FINAL - Settlement Proposal Updated.xlsx]Forecast Data For 2017'!$C$23</f>
    </oc>
    <nc r="C23">
      <v>2</v>
    </nc>
  </rcc>
  <rcc rId="595" sId="19" numFmtId="34">
    <oc r="G23">
      <f>'R:\2017 Cost of Service\Settlement Proposal\Update Cost of Power\Cost of Capital Changes\Sent to Intervenors\models\[2016 01 19 Rate Design Model_FINAL - Settlement Proposal Updated.xlsx]Forecast Data For 2017'!$C$24</f>
    </oc>
    <nc r="G23">
      <v>139437.49637471305</v>
    </nc>
  </rcc>
  <rcc rId="596" sId="19" numFmtId="34">
    <oc r="H15">
      <f>'R:\2017 Cost of Service\Settlement Proposal\Update Cost of Power\Cost of Capital Changes\Sent to Intervenors\models\[2016 01 19 Rate Design Model_FINAL - Settlement Proposal Updated.xlsx]Distribution Rate Schedule'!$C$9</f>
    </oc>
    <nc r="H15">
      <v>17.8</v>
    </nc>
  </rcc>
  <rcc rId="597" sId="19" numFmtId="34">
    <oc r="I15">
      <f>'R:\2017 Cost of Service\Settlement Proposal\Update Cost of Power\Cost of Capital Changes\Sent to Intervenors\models\[2016 01 19 Rate Design Model_FINAL - Settlement Proposal Updated.xlsx]Distribution Rate Schedule'!$E$9</f>
    </oc>
    <nc r="I15">
      <v>7.6E-3</v>
    </nc>
  </rcc>
  <rcc rId="598" sId="19" numFmtId="34">
    <oc r="H16">
      <f>'R:\2017 Cost of Service\Settlement Proposal\Update Cost of Power\Cost of Capital Changes\Sent to Intervenors\models\[2016 01 19 Rate Design Model_FINAL - Settlement Proposal Updated.xlsx]Distribution Rate Schedule'!$C$10</f>
    </oc>
    <nc r="H16">
      <v>30.14</v>
    </nc>
  </rcc>
  <rcc rId="599" sId="19" numFmtId="34">
    <oc r="I16">
      <f>'R:\2017 Cost of Service\Settlement Proposal\Update Cost of Power\Cost of Capital Changes\Sent to Intervenors\models\[2016 01 19 Rate Design Model_FINAL - Settlement Proposal Updated.xlsx]Distribution Rate Schedule'!$E$10</f>
    </oc>
    <nc r="I16">
      <v>7.9000000000000008E-3</v>
    </nc>
  </rcc>
  <rcc rId="600" sId="19" numFmtId="34">
    <oc r="H17">
      <f>'R:\2017 Cost of Service\Settlement Proposal\Update Cost of Power\Cost of Capital Changes\Sent to Intervenors\models\[2016 01 19 Rate Design Model_FINAL - Settlement Proposal Updated.xlsx]Distribution Rate Schedule'!$C$11</f>
    </oc>
    <nc r="H17">
      <v>232.03</v>
    </nc>
  </rcc>
  <rcc rId="601" sId="19" numFmtId="34">
    <oc r="J17">
      <f>'R:\2017 Cost of Service\Settlement Proposal\Update Cost of Power\Cost of Capital Changes\Sent to Intervenors\models\[2016 01 19 Rate Design Model_FINAL - Settlement Proposal Updated.xlsx]Distribution Rate Schedule'!$D$11</f>
    </oc>
    <nc r="J17">
      <v>2.8050999999999999</v>
    </nc>
  </rcc>
  <rcc rId="602" sId="19" numFmtId="34">
    <oc r="H19">
      <f>'R:\2017 Cost of Service\Settlement Proposal\Update Cost of Power\Cost of Capital Changes\Sent to Intervenors\models\[2016 01 19 Rate Design Model_FINAL - Settlement Proposal Updated.xlsx]Distribution Rate Schedule'!$B$12</f>
    </oc>
    <nc r="H19">
      <v>1.42</v>
    </nc>
  </rcc>
  <rcc rId="603" sId="19" numFmtId="34">
    <oc r="J19">
      <f>'R:\2017 Cost of Service\Settlement Proposal\Update Cost of Power\Cost of Capital Changes\Sent to Intervenors\models\[2016 01 19 Rate Design Model_FINAL - Settlement Proposal Updated.xlsx]Distribution Rate Schedule'!$D$12</f>
    </oc>
    <nc r="J19">
      <v>5.9531999999999998</v>
    </nc>
  </rcc>
  <rcc rId="604" sId="19" numFmtId="34">
    <oc r="H20">
      <f>'R:\2017 Cost of Service\Settlement Proposal\Update Cost of Power\Cost of Capital Changes\Sent to Intervenors\models\[2016 01 19 Rate Design Model_FINAL - Settlement Proposal Updated.xlsx]Distribution Rate Schedule'!$B$16</f>
    </oc>
    <nc r="H20">
      <v>4.1500000000000004</v>
    </nc>
  </rcc>
  <rcc rId="605" sId="19" numFmtId="34">
    <oc r="J20">
      <f>'R:\2017 Cost of Service\Settlement Proposal\Update Cost of Power\Cost of Capital Changes\Sent to Intervenors\models\[2016 01 19 Rate Design Model_FINAL - Settlement Proposal Updated.xlsx]Distribution Rate Schedule'!$D$16</f>
    </oc>
    <nc r="J20">
      <v>19.880400000000002</v>
    </nc>
  </rcc>
  <rcc rId="606" sId="19" numFmtId="34">
    <oc r="H21">
      <f>'R:\2017 Cost of Service\Settlement Proposal\Update Cost of Power\Cost of Capital Changes\Sent to Intervenors\models\[2016 01 19 Rate Design Model_FINAL - Settlement Proposal Updated.xlsx]Distribution Rate Schedule'!$B$17</f>
    </oc>
    <nc r="H21">
      <v>12.84</v>
    </nc>
  </rcc>
  <rcc rId="607" sId="19" numFmtId="34">
    <oc r="I21">
      <f>'R:\2017 Cost of Service\Settlement Proposal\Update Cost of Power\Cost of Capital Changes\Sent to Intervenors\models\[2016 01 19 Rate Design Model_FINAL - Settlement Proposal Updated.xlsx]Distribution Rate Schedule'!$E$17</f>
    </oc>
    <nc r="I21">
      <v>8.8999999999999999E-3</v>
    </nc>
  </rcc>
  <rcc rId="608" sId="19" numFmtId="34">
    <oc r="H23">
      <f>'R:\2017 Cost of Service\Settlement Proposal\Update Cost of Power\Cost of Capital Changes\Sent to Intervenors\models\[2016 01 19 Rate Design Model_FINAL - Settlement Proposal Updated.xlsx]Distribution Rate Schedule'!$C$14</f>
    </oc>
    <nc r="H23">
      <v>355.06</v>
    </nc>
  </rcc>
  <rcc rId="609" sId="19" numFmtId="34">
    <oc r="J23">
      <f>'R:\2017 Cost of Service\Settlement Proposal\Update Cost of Power\Cost of Capital Changes\Sent to Intervenors\models\[2016 01 19 Rate Design Model_FINAL - Settlement Proposal Updated.xlsx]Distribution Rate Schedule'!$D$14</f>
    </oc>
    <nc r="J23">
      <v>1.9704999999999999</v>
    </nc>
  </rcc>
  <rcc rId="610" sId="19" numFmtId="34">
    <oc r="N16">
      <f>-'R:\2017 Cost of Service\Settlement Proposal\Update Cost of Power\Cost of Capital Changes\Sent to Intervenors\models\[2016 01 19 Rate Design Model_FINAL - Settlement Proposal Updated.xlsx]Transformer Allowance'!$C$14</f>
    </oc>
    <nc r="N16">
      <v>541.48799999999994</v>
    </nc>
  </rcc>
  <rcc rId="611" sId="19" numFmtId="34">
    <oc r="N17">
      <f>-'R:\2017 Cost of Service\Settlement Proposal\Update Cost of Power\Cost of Capital Changes\Sent to Intervenors\models\[2016 01 19 Rate Design Model_FINAL - Settlement Proposal Updated.xlsx]Transformer Allowance'!$C$11</f>
    </oc>
    <nc r="N17">
      <v>394789.34848154511</v>
    </nc>
  </rcc>
  <rcc rId="612" sId="19" numFmtId="34">
    <oc r="N23">
      <f>-'R:\2017 Cost of Service\Settlement Proposal\Update Cost of Power\Cost of Capital Changes\Sent to Intervenors\models\[2016 01 19 Rate Design Model_FINAL - Settlement Proposal Updated.xlsx]Transformer Allowance'!$C$13</f>
    </oc>
    <nc r="N23">
      <v>83662.497824827835</v>
    </nc>
  </rcc>
  <rcc rId="613" sId="14" numFmtId="11">
    <oc r="I65">
      <f>'R:\2017 Cost of Service\Settlement Proposal\Update Cost of Power\Cost of Capital Changes\[2017 Revenue Requirement  Model 10282016.xlsx]Return on Capital'!$AD$39</f>
    </oc>
    <nc r="I65">
      <v>74003734.02529861</v>
    </nc>
  </rcc>
  <rcc rId="614" sId="15" numFmtId="34">
    <oc r="D17">
      <f>'R:\2017 Cost of Service\Settlement Proposal\Update Cost of Power\Cost of Capital Changes\Sent to Intervenors\models\[Brantford_SettlementP_Cost Allocation_20161028.xlsm]O1 Revenue to cost|RR'!$D$40</f>
    </oc>
    <nc r="D17">
      <v>11684875.500072218</v>
    </nc>
  </rcc>
  <rcc rId="615" sId="15" numFmtId="34">
    <oc r="D18">
      <f>'R:\2017 Cost of Service\Settlement Proposal\Update Cost of Power\Cost of Capital Changes\Sent to Intervenors\models\[Brantford_SettlementP_Cost Allocation_20161028.xlsm]O1 Revenue to cost|RR'!$E$40</f>
    </oc>
    <nc r="D18">
      <v>2099765.3145193155</v>
    </nc>
  </rcc>
  <rcc rId="616" sId="15" numFmtId="34">
    <oc r="D19">
      <f>'R:\2017 Cost of Service\Settlement Proposal\Update Cost of Power\Cost of Capital Changes\Sent to Intervenors\models\[Brantford_SettlementP_Cost Allocation_20161028.xlsm]O1 Revenue to cost|RR'!$F$40</f>
    </oc>
    <nc r="D19">
      <v>4014969.7979048034</v>
    </nc>
  </rcc>
  <rcc rId="617" sId="15" numFmtId="34">
    <oc r="D22">
      <f>'R:\2017 Cost of Service\Settlement Proposal\Update Cost of Power\Cost of Capital Changes\Sent to Intervenors\models\[Brantford_SettlementP_Cost Allocation_20161028.xlsm]O1 Revenue to cost|RR'!$J$40</f>
    </oc>
    <nc r="D22">
      <v>273784.18392363423</v>
    </nc>
  </rcc>
  <rcc rId="618" sId="15" numFmtId="34">
    <oc r="D23">
      <f>'R:\2017 Cost of Service\Settlement Proposal\Update Cost of Power\Cost of Capital Changes\Sent to Intervenors\models\[Brantford_SettlementP_Cost Allocation_20161028.xlsm]O1 Revenue to cost|RR'!$K$40</f>
    </oc>
    <nc r="D23">
      <v>56916.687379774674</v>
    </nc>
  </rcc>
  <rcc rId="619" sId="15" numFmtId="34">
    <oc r="D24">
      <f>'R:\2017 Cost of Service\Settlement Proposal\Update Cost of Power\Cost of Capital Changes\Sent to Intervenors\models\[Brantford_SettlementP_Cost Allocation_20161028.xlsm]O1 Revenue to cost|RR'!$L$40</f>
    </oc>
    <nc r="D24">
      <v>75996.620297504051</v>
    </nc>
  </rcc>
  <rcc rId="620" sId="15" numFmtId="34">
    <oc r="D27">
      <f>'R:\2017 Cost of Service\Settlement Proposal\Update Cost of Power\Cost of Capital Changes\Sent to Intervenors\models\[Brantford_SettlementP_Cost Allocation_20161028.xlsm]O1 Revenue to cost|RR'!$M$40</f>
    </oc>
    <nc r="D27">
      <v>207646.77574385781</v>
    </nc>
  </rcc>
  <rcc rId="621" sId="15">
    <oc r="D44">
      <f>'R:\2017 Cost of Service\Settlement Proposal\Update Cost of Power\Cost of Capital Changes\Sent to Intervenors\models\[Brantford_SettlementP_Cost Allocation_20161028.xlsm]O1 Revenue to cost|RR'!$C$22</f>
    </oc>
    <nc r="D44">
      <v>1.0238838053340931</v>
    </nc>
  </rcc>
  <rcc rId="622" sId="15" numFmtId="34">
    <oc r="F48">
      <f>'R:\2017 Cost of Service\Settlement Proposal\Update Cost of Power\Cost of Capital Changes\Sent to Intervenors\models\[Brantford_SettlementP_Cost Allocation_20161028.xlsm]O1 Revenue to cost|RR'!$D$24</f>
    </oc>
    <nc r="F48">
      <v>938730.83382495539</v>
    </nc>
  </rcc>
  <rcc rId="623" sId="15" numFmtId="34">
    <oc r="F49">
      <f>'R:\2017 Cost of Service\Settlement Proposal\Update Cost of Power\Cost of Capital Changes\Sent to Intervenors\models\[Brantford_SettlementP_Cost Allocation_20161028.xlsm]O1 Revenue to cost|RR'!$E$24</f>
    </oc>
    <nc r="F49">
      <v>138919.06956519323</v>
    </nc>
  </rcc>
  <rcc rId="624" sId="15" numFmtId="34">
    <oc r="F50">
      <f>'R:\2017 Cost of Service\Settlement Proposal\Update Cost of Power\Cost of Capital Changes\Sent to Intervenors\models\[Brantford_SettlementP_Cost Allocation_20161028.xlsm]O1 Revenue to cost|RR'!$F$24</f>
    </oc>
    <nc r="F50">
      <v>196772.07339716551</v>
    </nc>
  </rcc>
  <rcc rId="625" sId="15" numFmtId="34">
    <oc r="F53">
      <f>'R:\2017 Cost of Service\Settlement Proposal\Update Cost of Power\Cost of Capital Changes\Sent to Intervenors\models\[Brantford_SettlementP_Cost Allocation_20161028.xlsm]O1 Revenue to cost|RR'!$J$24</f>
    </oc>
    <nc r="F53">
      <v>22442.474368498773</v>
    </nc>
  </rcc>
  <rcc rId="626" sId="15" numFmtId="34">
    <oc r="F54">
      <f>'R:\2017 Cost of Service\Settlement Proposal\Update Cost of Power\Cost of Capital Changes\Sent to Intervenors\models\[Brantford_SettlementP_Cost Allocation_20161028.xlsm]O1 Revenue to cost|RR'!$K$24</f>
    </oc>
    <nc r="F54">
      <v>3575.9724471631303</v>
    </nc>
  </rcc>
  <rcc rId="627" sId="15" numFmtId="34">
    <oc r="F55">
      <f>'R:\2017 Cost of Service\Settlement Proposal\Update Cost of Power\Cost of Capital Changes\Sent to Intervenors\models\[Brantford_SettlementP_Cost Allocation_20161028.xlsm]O1 Revenue to cost|RR'!$L$24</f>
    </oc>
    <nc r="F55">
      <v>6539.0351427265559</v>
    </nc>
  </rcc>
  <rcc rId="628" sId="15" numFmtId="34">
    <oc r="F58">
      <f>'R:\2017 Cost of Service\Settlement Proposal\Update Cost of Power\Cost of Capital Changes\Sent to Intervenors\models\[Brantford_SettlementP_Cost Allocation_20161028.xlsm]O1 Revenue to cost|RR'!$M$24</f>
    </oc>
    <nc r="F58">
      <v>8020.5900674499489</v>
    </nc>
  </rcc>
  <rcc rId="629" sId="8" numFmtId="34">
    <oc r="B42">
      <f>'R:\2017 Cost of Service\Settlement Proposal\Iterations from Parties\[Copy of Brantford_SettlementP_Weather Normalization Regression Model _ 20161014.xls]CDM Results'!I27</f>
    </oc>
    <nc r="B42">
      <v>4515774</v>
    </nc>
  </rcc>
  <rcc rId="630" sId="8" numFmtId="34">
    <oc r="C42">
      <f>'R:\2017 Cost of Service\Settlement Proposal\Iterations from Parties\[Copy of Brantford_SettlementP_Weather Normalization Regression Model _ 20161014.xls]CDM Results'!J27</f>
    </oc>
    <nc r="C42">
      <v>4502850.9189342298</v>
    </nc>
  </rcc>
  <rcc rId="631" sId="8" numFmtId="34">
    <oc r="D42">
      <f>'R:\2017 Cost of Service\Settlement Proposal\Iterations from Parties\[Copy of Brantford_SettlementP_Weather Normalization Regression Model _ 20161014.xls]CDM Results'!K27</f>
    </oc>
    <nc r="D42">
      <v>4498762.0916148899</v>
    </nc>
  </rcc>
  <rcc rId="632" sId="8" numFmtId="34">
    <oc r="E42">
      <f>'R:\2017 Cost of Service\Settlement Proposal\Iterations from Parties\[Copy of Brantford_SettlementP_Weather Normalization Regression Model _ 20161014.xls]CDM Results'!L27</f>
    </oc>
    <nc r="E42">
      <v>4394084.261384869</v>
    </nc>
  </rcc>
  <rcc rId="633" sId="8" numFmtId="34">
    <oc r="C43">
      <f>'R:\2017 Cost of Service\Settlement Proposal\Iterations from Parties\[Copy of Brantford_SettlementP_Weather Normalization Regression Model _ 20161014.xls]CDM Results'!J28</f>
    </oc>
    <nc r="C43">
      <v>5363496</v>
    </nc>
  </rcc>
  <rcc rId="634" sId="8" numFmtId="34">
    <oc r="D43">
      <f>'R:\2017 Cost of Service\Settlement Proposal\Iterations from Parties\[Copy of Brantford_SettlementP_Weather Normalization Regression Model _ 20161014.xls]CDM Results'!K28</f>
    </oc>
    <nc r="D43">
      <v>5363496</v>
    </nc>
  </rcc>
  <rcc rId="635" sId="8" numFmtId="34">
    <oc r="E43">
      <f>'R:\2017 Cost of Service\Settlement Proposal\Iterations from Parties\[Copy of Brantford_SettlementP_Weather Normalization Regression Model _ 20161014.xls]CDM Results'!L28</f>
    </oc>
    <nc r="E43">
      <v>5363496</v>
    </nc>
  </rcc>
  <rcc rId="636" sId="8" numFmtId="34">
    <oc r="D44">
      <f>'R:\2017 Cost of Service\Settlement Proposal\Iterations from Parties\[Copy of Brantford_SettlementP_Weather Normalization Regression Model _ 20161014.xls]CDM Results'!K29</f>
    </oc>
    <nc r="D44">
      <v>5079363</v>
    </nc>
  </rcc>
  <rcc rId="637" sId="8" numFmtId="34">
    <oc r="E44">
      <f>'R:\2017 Cost of Service\Settlement Proposal\Iterations from Parties\[Copy of Brantford_SettlementP_Weather Normalization Regression Model _ 20161014.xls]CDM Results'!L29</f>
    </oc>
    <nc r="E44">
      <v>5079363</v>
    </nc>
  </rcc>
  <rcc rId="638" sId="8" numFmtId="34">
    <oc r="E45">
      <f>'R:\2017 Cost of Service\Settlement Proposal\Iterations from Parties\[Copy of Brantford_SettlementP_Weather Normalization Regression Model _ 20161014.xls]CDM Results'!L30</f>
    </oc>
    <nc r="E45">
      <v>35997464</v>
    </nc>
  </rcc>
  <rcc rId="639" sId="16" numFmtId="34">
    <oc r="B17">
      <f>'R:\2017 Cost of Service\Settlement Proposal\Iterations from Parties\[Copy of Brantford_SettlementP_Weather Normalization Regression Model _ 20161014.xls]Summary'!$M$12</f>
    </oc>
    <nc r="B17">
      <v>36432.680734342255</v>
    </nc>
  </rcc>
  <rcc rId="640" sId="16" numFmtId="34">
    <oc r="B18">
      <f>'R:\2017 Cost of Service\Settlement Proposal\Iterations from Parties\[Copy of Brantford_SettlementP_Weather Normalization Regression Model _ 20161014.xls]Summary'!$M$13</f>
    </oc>
    <nc r="B18">
      <v>301593274.34950149</v>
    </nc>
  </rcc>
  <rcc rId="641" sId="5" numFmtId="34">
    <oc r="K17">
      <f>IF(ISERROR(+I17+'\\domain2\infrastructure\Users\zingarov\Desktop\[Updated 2016_Filing_Requirements_Chapter2_Appendices.xlsm]App.2-CJ MIFRS_DepExp_2015'!K17-J17), 0, +I17+'\\domain2\infrastructure\Users\zingarov\Desktop\[Updated 2016_Filing_Requirements_Chapter2_Appendices.xlsm]App.2-CJ MIFRS_DepExp_2015'!K17-J17)</f>
    </oc>
    <nc r="K17">
      <v>258941.62</v>
    </nc>
  </rcc>
  <rcc rId="642" sId="5" numFmtId="34">
    <oc r="K18">
      <f>IF(ISERROR(+I18+'\\domain2\infrastructure\Users\zingarov\Desktop\[Updated 2016_Filing_Requirements_Chapter2_Appendices.xlsm]App.2-CJ MIFRS_DepExp_2015'!K18-J18), 0, +I18+'\\domain2\infrastructure\Users\zingarov\Desktop\[Updated 2016_Filing_Requirements_Chapter2_Appendices.xlsm]App.2-CJ MIFRS_DepExp_2015'!K18-J18)</f>
    </oc>
    <nc r="K18">
      <v>2034.5000000000002</v>
    </nc>
  </rcc>
  <rcc rId="643" sId="5" numFmtId="34">
    <oc r="K19">
      <f>IF(ISERROR(+I19+'\\domain2\infrastructure\Users\zingarov\Desktop\[Updated 2016_Filing_Requirements_Chapter2_Appendices.xlsm]App.2-CJ MIFRS_DepExp_2015'!K19-J19), 0, +I19+'\\domain2\infrastructure\Users\zingarov\Desktop\[Updated 2016_Filing_Requirements_Chapter2_Appendices.xlsm]App.2-CJ MIFRS_DepExp_2015'!K19-J19)</f>
    </oc>
    <nc r="K19">
      <v>0</v>
    </nc>
  </rcc>
  <rcc rId="644" sId="5" numFmtId="34">
    <oc r="K20">
      <f>IF(ISERROR(+I20+'\\domain2\infrastructure\Users\zingarov\Desktop\[Updated 2016_Filing_Requirements_Chapter2_Appendices.xlsm]App.2-CJ MIFRS_DepExp_2015'!K20-J20), 0, +I20+'\\domain2\infrastructure\Users\zingarov\Desktop\[Updated 2016_Filing_Requirements_Chapter2_Appendices.xlsm]App.2-CJ MIFRS_DepExp_2015'!K20-J20)</f>
    </oc>
    <nc r="K20">
      <v>27623.999999999996</v>
    </nc>
  </rcc>
  <rcc rId="645" sId="5" numFmtId="34">
    <oc r="K21">
      <f>IF(ISERROR(+I21+'\\domain2\infrastructure\Users\zingarov\Desktop\[Updated 2016_Filing_Requirements_Chapter2_Appendices.xlsm]App.2-CJ MIFRS_DepExp_2015'!K21-J21), 0, +I21+'\\domain2\infrastructure\Users\zingarov\Desktop\[Updated 2016_Filing_Requirements_Chapter2_Appendices.xlsm]App.2-CJ MIFRS_DepExp_2015'!K21-J21)</f>
    </oc>
    <nc r="K21">
      <v>0</v>
    </nc>
  </rcc>
  <rcc rId="646" sId="5" numFmtId="34">
    <oc r="K22">
      <f>IF(ISERROR(+I22+'\\domain2\infrastructure\Users\zingarov\Desktop\[Updated 2016_Filing_Requirements_Chapter2_Appendices.xlsm]App.2-CJ MIFRS_DepExp_2015'!K22-J22), 0, +I22+'\\domain2\infrastructure\Users\zingarov\Desktop\[Updated 2016_Filing_Requirements_Chapter2_Appendices.xlsm]App.2-CJ MIFRS_DepExp_2015'!K22-J22)</f>
    </oc>
    <nc r="K22">
      <v>121190.07333333333</v>
    </nc>
  </rcc>
  <rcc rId="647" sId="5" numFmtId="34">
    <oc r="K23">
      <f>IF(ISERROR(+I23+'\\domain2\infrastructure\Users\zingarov\Desktop\[Updated 2016_Filing_Requirements_Chapter2_Appendices.xlsm]App.2-CJ MIFRS_DepExp_2015'!K23-J23), 0, +I23+'\\domain2\infrastructure\Users\zingarov\Desktop\[Updated 2016_Filing_Requirements_Chapter2_Appendices.xlsm]App.2-CJ MIFRS_DepExp_2015'!K23-J23)</f>
    </oc>
    <nc r="K23">
      <v>-38995.504333333338</v>
    </nc>
  </rcc>
  <rcc rId="648" sId="5" numFmtId="34">
    <oc r="K24">
      <f>IF(ISERROR(+I24+'\\domain2\infrastructure\Users\zingarov\Desktop\[Updated 2016_Filing_Requirements_Chapter2_Appendices.xlsm]App.2-CJ MIFRS_DepExp_2015'!K24-J24), 0, +I24+'\\domain2\infrastructure\Users\zingarov\Desktop\[Updated 2016_Filing_Requirements_Chapter2_Appendices.xlsm]App.2-CJ MIFRS_DepExp_2015'!K24-J24)</f>
    </oc>
    <nc r="K24">
      <v>0</v>
    </nc>
  </rcc>
  <rcc rId="649" sId="5" numFmtId="34">
    <oc r="K25">
      <f>IF(ISERROR(+I25+'\\domain2\infrastructure\Users\zingarov\Desktop\[Updated 2016_Filing_Requirements_Chapter2_Appendices.xlsm]App.2-CJ MIFRS_DepExp_2015'!K25-J25), 0, +I25+'\\domain2\infrastructure\Users\zingarov\Desktop\[Updated 2016_Filing_Requirements_Chapter2_Appendices.xlsm]App.2-CJ MIFRS_DepExp_2015'!K25-J25)</f>
    </oc>
    <nc r="K25">
      <v>410750.61693854479</v>
    </nc>
  </rcc>
  <rcc rId="650" sId="5" numFmtId="34">
    <oc r="K26">
      <f>IF(ISERROR(+I26+'\\domain2\infrastructure\Users\zingarov\Desktop\[Updated 2016_Filing_Requirements_Chapter2_Appendices.xlsm]App.2-CJ MIFRS_DepExp_2015'!K26-J26), 0, +I26+'\\domain2\infrastructure\Users\zingarov\Desktop\[Updated 2016_Filing_Requirements_Chapter2_Appendices.xlsm]App.2-CJ MIFRS_DepExp_2015'!K26-J26)</f>
    </oc>
    <nc r="K26">
      <v>290020.18481237092</v>
    </nc>
  </rcc>
  <rcc rId="651" sId="5" numFmtId="34">
    <oc r="K27">
      <f>IF(ISERROR(+I27+'\\domain2\infrastructure\Users\zingarov\Desktop\[Updated 2016_Filing_Requirements_Chapter2_Appendices.xlsm]App.2-CJ MIFRS_DepExp_2015'!K27-J27), 0, +I27+'\\domain2\infrastructure\Users\zingarov\Desktop\[Updated 2016_Filing_Requirements_Chapter2_Appendices.xlsm]App.2-CJ MIFRS_DepExp_2015'!K27-J27)</f>
    </oc>
    <nc r="K27">
      <v>241285.85355453572</v>
    </nc>
  </rcc>
  <rcc rId="652" sId="5" numFmtId="34">
    <oc r="K28">
      <f>IF(ISERROR(+I28+'\\domain2\infrastructure\Users\zingarov\Desktop\[Updated 2016_Filing_Requirements_Chapter2_Appendices.xlsm]App.2-CJ MIFRS_DepExp_2015'!K28-J28), 0, +I28+'\\domain2\infrastructure\Users\zingarov\Desktop\[Updated 2016_Filing_Requirements_Chapter2_Appendices.xlsm]App.2-CJ MIFRS_DepExp_2015'!K28-J28)</f>
    </oc>
    <nc r="K28">
      <v>668741.14817789535</v>
    </nc>
  </rcc>
  <rcc rId="653" sId="5" numFmtId="34">
    <oc r="K29">
      <f>IF(ISERROR(+I29+'\\domain2\infrastructure\Users\zingarov\Desktop\[Updated 2016_Filing_Requirements_Chapter2_Appendices.xlsm]App.2-CJ MIFRS_DepExp_2015'!K29-J29), 0, +I29+'\\domain2\infrastructure\Users\zingarov\Desktop\[Updated 2016_Filing_Requirements_Chapter2_Appendices.xlsm]App.2-CJ MIFRS_DepExp_2015'!K29-J29)</f>
    </oc>
    <nc r="K29">
      <v>485891.32722259674</v>
    </nc>
  </rcc>
  <rcc rId="654" sId="5" numFmtId="34">
    <oc r="K30">
      <f>IF(ISERROR(+I30+'\\domain2\infrastructure\Users\zingarov\Desktop\[Updated 2016_Filing_Requirements_Chapter2_Appendices.xlsm]App.2-CJ MIFRS_DepExp_2015'!K30-J30), 0, +I30+'\\domain2\infrastructure\Users\zingarov\Desktop\[Updated 2016_Filing_Requirements_Chapter2_Appendices.xlsm]App.2-CJ MIFRS_DepExp_2015'!K30-J30)</f>
    </oc>
    <nc r="K30">
      <v>88598.084800000011</v>
    </nc>
  </rcc>
  <rcc rId="655" sId="5" numFmtId="34">
    <oc r="K31">
      <f>IF(ISERROR(+I31+'\\domain2\infrastructure\Users\zingarov\Desktop\[Updated 2016_Filing_Requirements_Chapter2_Appendices.xlsm]App.2-CJ MIFRS_DepExp_2015'!K31-J31), 0, +I31+'\\domain2\infrastructure\Users\zingarov\Desktop\[Updated 2016_Filing_Requirements_Chapter2_Appendices.xlsm]App.2-CJ MIFRS_DepExp_2015'!K31-J31)</f>
    </oc>
    <nc r="K31">
      <v>249802.82374148475</v>
    </nc>
  </rcc>
  <rcc rId="656" sId="5" numFmtId="34">
    <oc r="K32">
      <f>IF(ISERROR(+I32+'\\domain2\infrastructure\Users\zingarov\Desktop\[Updated 2016_Filing_Requirements_Chapter2_Appendices.xlsm]App.2-CJ MIFRS_DepExp_2015'!K32-J32), 0, +I32+'\\domain2\infrastructure\Users\zingarov\Desktop\[Updated 2016_Filing_Requirements_Chapter2_Appendices.xlsm]App.2-CJ MIFRS_DepExp_2015'!K32-J32)</f>
    </oc>
    <nc r="K32">
      <v>375872</v>
    </nc>
  </rcc>
  <rcc rId="657" sId="5" numFmtId="34">
    <oc r="K33">
      <f>IF(ISERROR(+I33+'\\domain2\infrastructure\Users\zingarov\Desktop\[Updated 2016_Filing_Requirements_Chapter2_Appendices.xlsm]App.2-CJ MIFRS_DepExp_2015'!K33-J33), 0, +I33+'\\domain2\infrastructure\Users\zingarov\Desktop\[Updated 2016_Filing_Requirements_Chapter2_Appendices.xlsm]App.2-CJ MIFRS_DepExp_2015'!K33-J33)</f>
    </oc>
    <nc r="K33">
      <v>0</v>
    </nc>
  </rcc>
  <rcc rId="658" sId="5" numFmtId="34">
    <oc r="K34">
      <f>IF(ISERROR(+I34+'\\domain2\infrastructure\Users\zingarov\Desktop\[Updated 2016_Filing_Requirements_Chapter2_Appendices.xlsm]App.2-CJ MIFRS_DepExp_2015'!K34-J34), 0, +I34+'\\domain2\infrastructure\Users\zingarov\Desktop\[Updated 2016_Filing_Requirements_Chapter2_Appendices.xlsm]App.2-CJ MIFRS_DepExp_2015'!K34-J34)</f>
    </oc>
    <nc r="K34">
      <v>0</v>
    </nc>
  </rcc>
  <rcc rId="659" sId="5" numFmtId="34">
    <oc r="K35">
      <f>IF(ISERROR(+I35+'\\domain2\infrastructure\Users\zingarov\Desktop\[Updated 2016_Filing_Requirements_Chapter2_Appendices.xlsm]App.2-CJ MIFRS_DepExp_2015'!K35-J35), 0, +I35+'\\domain2\infrastructure\Users\zingarov\Desktop\[Updated 2016_Filing_Requirements_Chapter2_Appendices.xlsm]App.2-CJ MIFRS_DepExp_2015'!K35-J35)</f>
    </oc>
    <nc r="K35">
      <v>5984.9059999999999</v>
    </nc>
  </rcc>
  <rcc rId="660" sId="5" numFmtId="34">
    <oc r="K36">
      <f>IF(ISERROR(+I36+'\\domain2\infrastructure\Users\zingarov\Desktop\[Updated 2016_Filing_Requirements_Chapter2_Appendices.xlsm]App.2-CJ MIFRS_DepExp_2015'!K36-J36), 0, +I36+'\\domain2\infrastructure\Users\zingarov\Desktop\[Updated 2016_Filing_Requirements_Chapter2_Appendices.xlsm]App.2-CJ MIFRS_DepExp_2015'!K36-J36)</f>
    </oc>
    <nc r="K36">
      <v>3145.3670000000002</v>
    </nc>
  </rcc>
  <rcc rId="661" sId="5" numFmtId="34">
    <oc r="K37">
      <f>IF(ISERROR(+I37+'\\domain2\infrastructure\Users\zingarov\Desktop\[Updated 2016_Filing_Requirements_Chapter2_Appendices.xlsm]App.2-CJ MIFRS_DepExp_2015'!K37-J37), 0, +I37+'\\domain2\infrastructure\Users\zingarov\Desktop\[Updated 2016_Filing_Requirements_Chapter2_Appendices.xlsm]App.2-CJ MIFRS_DepExp_2015'!K37-J37)</f>
    </oc>
    <nc r="K37">
      <v>0</v>
    </nc>
  </rcc>
  <rcc rId="662" sId="5" numFmtId="34">
    <oc r="K38">
      <f>IF(ISERROR(+I38+'\\domain2\infrastructure\Users\zingarov\Desktop\[Updated 2016_Filing_Requirements_Chapter2_Appendices.xlsm]App.2-CJ MIFRS_DepExp_2015'!K38-J38), 0, +I38+'\\domain2\infrastructure\Users\zingarov\Desktop\[Updated 2016_Filing_Requirements_Chapter2_Appendices.xlsm]App.2-CJ MIFRS_DepExp_2015'!K38-J38)</f>
    </oc>
    <nc r="K38">
      <v>0</v>
    </nc>
  </rcc>
  <rcc rId="663" sId="5" numFmtId="34">
    <oc r="K39">
      <f>IF(ISERROR(+I39+'\\domain2\infrastructure\Users\zingarov\Desktop\[Updated 2016_Filing_Requirements_Chapter2_Appendices.xlsm]App.2-CJ MIFRS_DepExp_2015'!K39-J39), 0, +I39+'\\domain2\infrastructure\Users\zingarov\Desktop\[Updated 2016_Filing_Requirements_Chapter2_Appendices.xlsm]App.2-CJ MIFRS_DepExp_2015'!K39-J39)</f>
    </oc>
    <nc r="K39">
      <v>0</v>
    </nc>
  </rcc>
  <rcc rId="664" sId="5" numFmtId="34">
    <oc r="K40">
      <f>IF(ISERROR(+I40+'\\domain2\infrastructure\Users\zingarov\Desktop\[Updated 2016_Filing_Requirements_Chapter2_Appendices.xlsm]App.2-CJ MIFRS_DepExp_2015'!K40-J40), 0, +I40+'\\domain2\infrastructure\Users\zingarov\Desktop\[Updated 2016_Filing_Requirements_Chapter2_Appendices.xlsm]App.2-CJ MIFRS_DepExp_2015'!K40-J40)</f>
    </oc>
    <nc r="K40">
      <v>31901.752500000002</v>
    </nc>
  </rcc>
  <rcc rId="665" sId="5" numFmtId="34">
    <oc r="K41">
      <f>IF(ISERROR(+I41+'\\domain2\infrastructure\Users\zingarov\Desktop\[Updated 2016_Filing_Requirements_Chapter2_Appendices.xlsm]App.2-CJ MIFRS_DepExp_2015'!K41-J41), 0, +I41+'\\domain2\infrastructure\Users\zingarov\Desktop\[Updated 2016_Filing_Requirements_Chapter2_Appendices.xlsm]App.2-CJ MIFRS_DepExp_2015'!K41-J41)</f>
    </oc>
    <nc r="K41">
      <v>199662.91329146389</v>
    </nc>
  </rcc>
  <rcc rId="666" sId="5" numFmtId="34">
    <oc r="K42">
      <f>IF(ISERROR(+I42+'\\domain2\infrastructure\Users\zingarov\Desktop\[Updated 2016_Filing_Requirements_Chapter2_Appendices.xlsm]App.2-CJ MIFRS_DepExp_2015'!K42-J42), 0, +I42+'\\domain2\infrastructure\Users\zingarov\Desktop\[Updated 2016_Filing_Requirements_Chapter2_Appendices.xlsm]App.2-CJ MIFRS_DepExp_2015'!K42-J42)</f>
    </oc>
    <nc r="K42">
      <v>518.42499999999995</v>
    </nc>
  </rcc>
  <rcc rId="667" sId="5" numFmtId="34">
    <oc r="K43">
      <f>IF(ISERROR(+I43+'\\domain2\infrastructure\Users\zingarov\Desktop\[Updated 2016_Filing_Requirements_Chapter2_Appendices.xlsm]App.2-CJ MIFRS_DepExp_2015'!K43-J43), 0, +I43+'\\domain2\infrastructure\Users\zingarov\Desktop\[Updated 2016_Filing_Requirements_Chapter2_Appendices.xlsm]App.2-CJ MIFRS_DepExp_2015'!K43-J43)</f>
    </oc>
    <nc r="K43">
      <v>18723.963000000003</v>
    </nc>
  </rcc>
  <rcc rId="668" sId="5" numFmtId="34">
    <oc r="K44">
      <f>IF(ISERROR(+I44+'\\domain2\infrastructure\Users\zingarov\Desktop\[Updated 2016_Filing_Requirements_Chapter2_Appendices.xlsm]App.2-CJ MIFRS_DepExp_2015'!K44-J44), 0, +I44+'\\domain2\infrastructure\Users\zingarov\Desktop\[Updated 2016_Filing_Requirements_Chapter2_Appendices.xlsm]App.2-CJ MIFRS_DepExp_2015'!K44-J44)</f>
    </oc>
    <nc r="K44">
      <v>811.44900000000007</v>
    </nc>
  </rcc>
  <rcc rId="669" sId="5" numFmtId="34">
    <oc r="K45">
      <f>IF(ISERROR(+I45+'\\domain2\infrastructure\Users\zingarov\Desktop\[Updated 2016_Filing_Requirements_Chapter2_Appendices.xlsm]App.2-CJ MIFRS_DepExp_2015'!K45-J45), 0, +I45+'\\domain2\infrastructure\Users\zingarov\Desktop\[Updated 2016_Filing_Requirements_Chapter2_Appendices.xlsm]App.2-CJ MIFRS_DepExp_2015'!K45-J45)</f>
    </oc>
    <nc r="K45">
      <v>0</v>
    </nc>
  </rcc>
  <rcc rId="670" sId="5" numFmtId="34">
    <oc r="K46">
      <f>IF(ISERROR(+I46+'\\domain2\infrastructure\Users\zingarov\Desktop\[Updated 2016_Filing_Requirements_Chapter2_Appendices.xlsm]App.2-CJ MIFRS_DepExp_2015'!K46-J46), 0, +I46+'\\domain2\infrastructure\Users\zingarov\Desktop\[Updated 2016_Filing_Requirements_Chapter2_Appendices.xlsm]App.2-CJ MIFRS_DepExp_2015'!K46-J46)</f>
    </oc>
    <nc r="K46">
      <v>7517.5259999999998</v>
    </nc>
  </rcc>
  <rcc rId="671" sId="5" numFmtId="34">
    <oc r="K47">
      <f>IF(ISERROR(+I47+'\\domain2\infrastructure\Users\zingarov\Desktop\[Updated 2016_Filing_Requirements_Chapter2_Appendices.xlsm]App.2-CJ MIFRS_DepExp_2015'!K47-J47), 0, +I47+'\\domain2\infrastructure\Users\zingarov\Desktop\[Updated 2016_Filing_Requirements_Chapter2_Appendices.xlsm]App.2-CJ MIFRS_DepExp_2015'!K47-J47)</f>
    </oc>
    <nc r="K47">
      <v>0</v>
    </nc>
  </rcc>
  <rcc rId="672" sId="5" numFmtId="34">
    <oc r="K48">
      <f>IF(ISERROR(+I48+'\\domain2\infrastructure\Users\zingarov\Desktop\[Updated 2016_Filing_Requirements_Chapter2_Appendices.xlsm]App.2-CJ MIFRS_DepExp_2015'!K48-J48), 0, +I48+'\\domain2\infrastructure\Users\zingarov\Desktop\[Updated 2016_Filing_Requirements_Chapter2_Appendices.xlsm]App.2-CJ MIFRS_DepExp_2015'!K48-J48)</f>
    </oc>
    <nc r="K48">
      <v>0</v>
    </nc>
  </rcc>
  <rcc rId="673" sId="5" numFmtId="34">
    <oc r="K49">
      <f>IF(ISERROR(+I49+'\\domain2\infrastructure\Users\zingarov\Desktop\[Updated 2016_Filing_Requirements_Chapter2_Appendices.xlsm]App.2-CJ MIFRS_DepExp_2015'!K49-J49), 0, +I49+'\\domain2\infrastructure\Users\zingarov\Desktop\[Updated 2016_Filing_Requirements_Chapter2_Appendices.xlsm]App.2-CJ MIFRS_DepExp_2015'!K49-J49)</f>
    </oc>
    <nc r="K49">
      <v>0</v>
    </nc>
  </rcc>
  <rcc rId="674" sId="5" numFmtId="34">
    <oc r="K50">
      <f>IF(ISERROR(+I50+'\\domain2\infrastructure\Users\zingarov\Desktop\[Updated 2016_Filing_Requirements_Chapter2_Appendices.xlsm]App.2-CJ MIFRS_DepExp_2015'!K50-J50), 0, +I50+'\\domain2\infrastructure\Users\zingarov\Desktop\[Updated 2016_Filing_Requirements_Chapter2_Appendices.xlsm]App.2-CJ MIFRS_DepExp_2015'!K50-J50)</f>
    </oc>
    <nc r="K50">
      <v>0</v>
    </nc>
  </rcc>
  <rcc rId="675" sId="5" numFmtId="34">
    <oc r="K51">
      <f>IF(ISERROR(+I51+'\\domain2\infrastructure\Users\zingarov\Desktop\[Updated 2016_Filing_Requirements_Chapter2_Appendices.xlsm]App.2-CJ MIFRS_DepExp_2015'!K51-J51), 0, +I51+'\\domain2\infrastructure\Users\zingarov\Desktop\[Updated 2016_Filing_Requirements_Chapter2_Appendices.xlsm]App.2-CJ MIFRS_DepExp_2015'!K51-J51)</f>
    </oc>
    <nc r="K51">
      <v>65489.534</v>
    </nc>
  </rcc>
  <rcc rId="676" sId="5" numFmtId="34">
    <oc r="K52">
      <f>IF(ISERROR(+I52+'\\domain2\infrastructure\Users\zingarov\Desktop\[Updated 2016_Filing_Requirements_Chapter2_Appendices.xlsm]App.2-CJ MIFRS_DepExp_2015'!K52-J52), 0, +I52+'\\domain2\infrastructure\Users\zingarov\Desktop\[Updated 2016_Filing_Requirements_Chapter2_Appendices.xlsm]App.2-CJ MIFRS_DepExp_2015'!K52-J52)</f>
    </oc>
    <nc r="K52">
      <v>0</v>
    </nc>
  </rcc>
  <rcc rId="677" sId="5" numFmtId="34">
    <oc r="K53">
      <f>IF(ISERROR(+I53+'\\domain2\infrastructure\Users\zingarov\Desktop\[Updated 2016_Filing_Requirements_Chapter2_Appendices.xlsm]App.2-CJ MIFRS_DepExp_2015'!K53-J53), 0, +I53+'\\domain2\infrastructure\Users\zingarov\Desktop\[Updated 2016_Filing_Requirements_Chapter2_Appendices.xlsm]App.2-CJ MIFRS_DepExp_2015'!K53-J53)</f>
    </oc>
    <nc r="K53">
      <v>0</v>
    </nc>
  </rcc>
  <rcc rId="678" sId="5" numFmtId="34">
    <oc r="K54">
      <f>IF(ISERROR(+I54+'\\domain2\infrastructure\Users\zingarov\Desktop\[Updated 2016_Filing_Requirements_Chapter2_Appendices.xlsm]App.2-CJ MIFRS_DepExp_2015'!K54-J54), 0, +I54+'\\domain2\infrastructure\Users\zingarov\Desktop\[Updated 2016_Filing_Requirements_Chapter2_Appendices.xlsm]App.2-CJ MIFRS_DepExp_2015'!K54-J54)</f>
    </oc>
    <nc r="K54">
      <v>-142492.31113071748</v>
    </nc>
  </rcc>
  <rcc rId="679" sId="6" numFmtId="34">
    <oc r="F17">
      <f>IF(D17=0,'\\domain2\infrastructure\Users\zingarov\Desktop\[Updated 2016_Filing_Requirements_Chapter2_Appendices.xlsm]App.2-CK MIFRS_DepExp_2016'!K17,+'\\domain2\infrastructure\Users\zingarov\Desktop\[Updated 2016_Filing_Requirements_Chapter2_Appendices.xlsm]App.2-CK MIFRS_DepExp_2016'!K17+((C17*0.5)/D17))</f>
    </oc>
    <nc r="F17">
      <v>354146.92</v>
    </nc>
  </rcc>
  <rcc rId="680" sId="6" numFmtId="34">
    <oc r="F18">
      <f>IF(D18=0,'\\domain2\infrastructure\Users\zingarov\Desktop\[Updated 2016_Filing_Requirements_Chapter2_Appendices.xlsm]App.2-CK MIFRS_DepExp_2016'!K18,+'\\domain2\infrastructure\Users\zingarov\Desktop\[Updated 2016_Filing_Requirements_Chapter2_Appendices.xlsm]App.2-CK MIFRS_DepExp_2016'!K18+((C18*0.5)/D18))</f>
    </oc>
    <nc r="F18">
      <v>2034.5000000000002</v>
    </nc>
  </rcc>
  <rcc rId="681" sId="6" numFmtId="34">
    <oc r="F19">
      <f>IF(D19=0,'\\domain2\infrastructure\Users\zingarov\Desktop\[Updated 2016_Filing_Requirements_Chapter2_Appendices.xlsm]App.2-CK MIFRS_DepExp_2016'!K19,+'\\domain2\infrastructure\Users\zingarov\Desktop\[Updated 2016_Filing_Requirements_Chapter2_Appendices.xlsm]App.2-CK MIFRS_DepExp_2016'!K19+((C19*0.5)/D19))</f>
    </oc>
    <nc r="F19">
      <v>0</v>
    </nc>
  </rcc>
  <rcc rId="682" sId="6" numFmtId="34">
    <oc r="F20">
      <f>IF(D20=0,'\\domain2\infrastructure\Users\zingarov\Desktop\[Updated 2016_Filing_Requirements_Chapter2_Appendices.xlsm]App.2-CK MIFRS_DepExp_2016'!K20,+'\\domain2\infrastructure\Users\zingarov\Desktop\[Updated 2016_Filing_Requirements_Chapter2_Appendices.xlsm]App.2-CK MIFRS_DepExp_2016'!K20+((C20*0.5)/D20))</f>
    </oc>
    <nc r="F20">
      <v>27623.999999999996</v>
    </nc>
  </rcc>
  <rcc rId="683" sId="6" numFmtId="34">
    <oc r="F21">
      <f>IF(D21=0,'\\domain2\infrastructure\Users\zingarov\Desktop\[Updated 2016_Filing_Requirements_Chapter2_Appendices.xlsm]App.2-CK MIFRS_DepExp_2016'!K21,+'\\domain2\infrastructure\Users\zingarov\Desktop\[Updated 2016_Filing_Requirements_Chapter2_Appendices.xlsm]App.2-CK MIFRS_DepExp_2016'!K21+((C21*0.5)/D21))</f>
    </oc>
    <nc r="F21">
      <v>0</v>
    </nc>
  </rcc>
  <rcc rId="684" sId="6" numFmtId="34">
    <oc r="F22">
      <f>IF(D22=0,'\\domain2\infrastructure\Users\zingarov\Desktop\[Updated 2016_Filing_Requirements_Chapter2_Appendices.xlsm]App.2-CK MIFRS_DepExp_2016'!K22,+'\\domain2\infrastructure\Users\zingarov\Desktop\[Updated 2016_Filing_Requirements_Chapter2_Appendices.xlsm]App.2-CK MIFRS_DepExp_2016'!K22+((C22*0.5)/D22))</f>
    </oc>
    <nc r="F22">
      <v>121190.07333333333</v>
    </nc>
  </rcc>
  <rcc rId="685" sId="6" numFmtId="34">
    <oc r="F23">
      <f>IF(D23=0,'\\domain2\infrastructure\Users\zingarov\Desktop\[Updated 2016_Filing_Requirements_Chapter2_Appendices.xlsm]App.2-CK MIFRS_DepExp_2016'!K23,+'\\domain2\infrastructure\Users\zingarov\Desktop\[Updated 2016_Filing_Requirements_Chapter2_Appendices.xlsm]App.2-CK MIFRS_DepExp_2016'!K23+((C23*0.5)/D23))</f>
    </oc>
    <nc r="F23">
      <v>-38995.504333333338</v>
    </nc>
  </rcc>
  <rcc rId="686" sId="6" numFmtId="34">
    <oc r="F24">
      <f>IF(D24=0,'\\domain2\infrastructure\Users\zingarov\Desktop\[Updated 2016_Filing_Requirements_Chapter2_Appendices.xlsm]App.2-CK MIFRS_DepExp_2016'!K24,+'\\domain2\infrastructure\Users\zingarov\Desktop\[Updated 2016_Filing_Requirements_Chapter2_Appendices.xlsm]App.2-CK MIFRS_DepExp_2016'!K24+((C24*0.5)/D24))</f>
    </oc>
    <nc r="F24">
      <v>0</v>
    </nc>
  </rcc>
  <rcc rId="687" sId="6" numFmtId="34">
    <oc r="F25">
      <f>IF(D25=0,'\\domain2\infrastructure\Users\zingarov\Desktop\[Updated 2016_Filing_Requirements_Chapter2_Appendices.xlsm]App.2-CK MIFRS_DepExp_2016'!K25,+'\\domain2\infrastructure\Users\zingarov\Desktop\[Updated 2016_Filing_Requirements_Chapter2_Appendices.xlsm]App.2-CK MIFRS_DepExp_2016'!K25+((C25*0.5)/D25))</f>
    </oc>
    <nc r="F25">
      <v>414492.34217272553</v>
    </nc>
  </rcc>
  <rcc rId="688" sId="6" numFmtId="34">
    <oc r="F26">
      <f>IF(D26=0,'\\domain2\infrastructure\Users\zingarov\Desktop\[Updated 2016_Filing_Requirements_Chapter2_Appendices.xlsm]App.2-CK MIFRS_DepExp_2016'!K26,+'\\domain2\infrastructure\Users\zingarov\Desktop\[Updated 2016_Filing_Requirements_Chapter2_Appendices.xlsm]App.2-CK MIFRS_DepExp_2016'!K26+((C26*0.5)/D26))</f>
    </oc>
    <nc r="F26">
      <v>304064.17634717532</v>
    </nc>
  </rcc>
  <rcc rId="689" sId="6" numFmtId="34">
    <oc r="F27">
      <f>IF(D27=0,'\\domain2\infrastructure\Users\zingarov\Desktop\[Updated 2016_Filing_Requirements_Chapter2_Appendices.xlsm]App.2-CK MIFRS_DepExp_2016'!K27,+'\\domain2\infrastructure\Users\zingarov\Desktop\[Updated 2016_Filing_Requirements_Chapter2_Appendices.xlsm]App.2-CK MIFRS_DepExp_2016'!K27+((C27*0.5)/D27))</f>
    </oc>
    <nc r="F27">
      <v>242196.87030454513</v>
    </nc>
  </rcc>
  <rcc rId="690" sId="6" numFmtId="34">
    <oc r="F28">
      <f>IF(D28=0,'\\domain2\infrastructure\Users\zingarov\Desktop\[Updated 2016_Filing_Requirements_Chapter2_Appendices.xlsm]App.2-CK MIFRS_DepExp_2016'!K28,+'\\domain2\infrastructure\Users\zingarov\Desktop\[Updated 2016_Filing_Requirements_Chapter2_Appendices.xlsm]App.2-CK MIFRS_DepExp_2016'!K28+((C28*0.5)/D28))</f>
    </oc>
    <nc r="F28">
      <v>686246.3780968166</v>
    </nc>
  </rcc>
  <rcc rId="691" sId="6" numFmtId="34">
    <oc r="F29">
      <f>IF(D29=0,'\\domain2\infrastructure\Users\zingarov\Desktop\[Updated 2016_Filing_Requirements_Chapter2_Appendices.xlsm]App.2-CK MIFRS_DepExp_2016'!K29,+'\\domain2\infrastructure\Users\zingarov\Desktop\[Updated 2016_Filing_Requirements_Chapter2_Appendices.xlsm]App.2-CK MIFRS_DepExp_2016'!K29+((C29*0.5)/D29))</f>
    </oc>
    <nc r="F29">
      <v>492204.23159973277</v>
    </nc>
  </rcc>
  <rcc rId="692" sId="6" numFmtId="34">
    <oc r="F30">
      <f>IF(D30=0,'\\domain2\infrastructure\Users\zingarov\Desktop\[Updated 2016_Filing_Requirements_Chapter2_Appendices.xlsm]App.2-CK MIFRS_DepExp_2016'!K30,+'\\domain2\infrastructure\Users\zingarov\Desktop\[Updated 2016_Filing_Requirements_Chapter2_Appendices.xlsm]App.2-CK MIFRS_DepExp_2016'!K30+((C30*0.5)/D30))</f>
    </oc>
    <nc r="F30">
      <v>93949.784800000009</v>
    </nc>
  </rcc>
  <rcc rId="693" sId="6" numFmtId="34">
    <oc r="F31">
      <f>IF(D31=0,'\\domain2\infrastructure\Users\zingarov\Desktop\[Updated 2016_Filing_Requirements_Chapter2_Appendices.xlsm]App.2-CK MIFRS_DepExp_2016'!K31,+'\\domain2\infrastructure\Users\zingarov\Desktop\[Updated 2016_Filing_Requirements_Chapter2_Appendices.xlsm]App.2-CK MIFRS_DepExp_2016'!K31+((C31*0.5)/D31))</f>
    </oc>
    <nc r="F31">
      <v>251302.43746964401</v>
    </nc>
  </rcc>
  <rcc rId="694" sId="6" numFmtId="34">
    <oc r="F32">
      <f>IF(D32=0,'\\domain2\infrastructure\Users\zingarov\Desktop\[Updated 2016_Filing_Requirements_Chapter2_Appendices.xlsm]App.2-CK MIFRS_DepExp_2016'!K32,+'\\domain2\infrastructure\Users\zingarov\Desktop\[Updated 2016_Filing_Requirements_Chapter2_Appendices.xlsm]App.2-CK MIFRS_DepExp_2016'!K32+((C32*0.5)/D32))</f>
    </oc>
    <nc r="F32">
      <v>375872</v>
    </nc>
  </rcc>
  <rcc rId="695" sId="6" numFmtId="34">
    <oc r="F33">
      <f>IF(D33=0,'\\domain2\infrastructure\Users\zingarov\Desktop\[Updated 2016_Filing_Requirements_Chapter2_Appendices.xlsm]App.2-CK MIFRS_DepExp_2016'!K33,+'\\domain2\infrastructure\Users\zingarov\Desktop\[Updated 2016_Filing_Requirements_Chapter2_Appendices.xlsm]App.2-CK MIFRS_DepExp_2016'!K33+((C33*0.5)/D33))</f>
    </oc>
    <nc r="F33">
      <v>0</v>
    </nc>
  </rcc>
  <rcc rId="696" sId="6" numFmtId="34">
    <oc r="F34">
      <f>IF(D34=0,'\\domain2\infrastructure\Users\zingarov\Desktop\[Updated 2016_Filing_Requirements_Chapter2_Appendices.xlsm]App.2-CK MIFRS_DepExp_2016'!K34,+'\\domain2\infrastructure\Users\zingarov\Desktop\[Updated 2016_Filing_Requirements_Chapter2_Appendices.xlsm]App.2-CK MIFRS_DepExp_2016'!K34+((C34*0.5)/D34))</f>
    </oc>
    <nc r="F34">
      <v>0</v>
    </nc>
  </rcc>
  <rcc rId="697" sId="6" numFmtId="34">
    <oc r="F35">
      <f>IF(D35=0,'\\domain2\infrastructure\Users\zingarov\Desktop\[Updated 2016_Filing_Requirements_Chapter2_Appendices.xlsm]App.2-CK MIFRS_DepExp_2016'!K35,+'\\domain2\infrastructure\Users\zingarov\Desktop\[Updated 2016_Filing_Requirements_Chapter2_Appendices.xlsm]App.2-CK MIFRS_DepExp_2016'!K35+((C35*0.5)/D35))</f>
    </oc>
    <nc r="F35">
      <v>5984.9059999999999</v>
    </nc>
  </rcc>
  <rcc rId="698" sId="6" numFmtId="34">
    <oc r="F36">
      <f>IF(D36=0,'\\domain2\infrastructure\Users\zingarov\Desktop\[Updated 2016_Filing_Requirements_Chapter2_Appendices.xlsm]App.2-CK MIFRS_DepExp_2016'!K36,+'\\domain2\infrastructure\Users\zingarov\Desktop\[Updated 2016_Filing_Requirements_Chapter2_Appendices.xlsm]App.2-CK MIFRS_DepExp_2016'!K36+((C36*0.5)/D36))</f>
    </oc>
    <nc r="F36">
      <v>3145.3670000000002</v>
    </nc>
  </rcc>
  <rcc rId="699" sId="6" numFmtId="34">
    <oc r="F37">
      <f>IF(D37=0,'\\domain2\infrastructure\Users\zingarov\Desktop\[Updated 2016_Filing_Requirements_Chapter2_Appendices.xlsm]App.2-CK MIFRS_DepExp_2016'!K37,+'\\domain2\infrastructure\Users\zingarov\Desktop\[Updated 2016_Filing_Requirements_Chapter2_Appendices.xlsm]App.2-CK MIFRS_DepExp_2016'!K37+((C37*0.5)/D37))</f>
    </oc>
    <nc r="F37">
      <v>0</v>
    </nc>
  </rcc>
  <rcc rId="700" sId="6" numFmtId="34">
    <oc r="F38">
      <f>IF(D38=0,'\\domain2\infrastructure\Users\zingarov\Desktop\[Updated 2016_Filing_Requirements_Chapter2_Appendices.xlsm]App.2-CK MIFRS_DepExp_2016'!K38,+'\\domain2\infrastructure\Users\zingarov\Desktop\[Updated 2016_Filing_Requirements_Chapter2_Appendices.xlsm]App.2-CK MIFRS_DepExp_2016'!K38+((C38*0.5)/D38))</f>
    </oc>
    <nc r="F38">
      <v>0</v>
    </nc>
  </rcc>
  <rcc rId="701" sId="6" numFmtId="34">
    <oc r="F39">
      <f>IF(D39=0,'\\domain2\infrastructure\Users\zingarov\Desktop\[Updated 2016_Filing_Requirements_Chapter2_Appendices.xlsm]App.2-CK MIFRS_DepExp_2016'!K39,+'\\domain2\infrastructure\Users\zingarov\Desktop\[Updated 2016_Filing_Requirements_Chapter2_Appendices.xlsm]App.2-CK MIFRS_DepExp_2016'!K39+((C39*0.5)/D39))</f>
    </oc>
    <nc r="F39">
      <v>0</v>
    </nc>
  </rcc>
  <rcc rId="702" sId="6" numFmtId="34">
    <oc r="F40">
      <f>IF(D40=0,'\\domain2\infrastructure\Users\zingarov\Desktop\[Updated 2016_Filing_Requirements_Chapter2_Appendices.xlsm]App.2-CK MIFRS_DepExp_2016'!K40,+'\\domain2\infrastructure\Users\zingarov\Desktop\[Updated 2016_Filing_Requirements_Chapter2_Appendices.xlsm]App.2-CK MIFRS_DepExp_2016'!K40+((C40*0.5)/D40))</f>
    </oc>
    <nc r="F40">
      <v>36376.752500000002</v>
    </nc>
  </rcc>
  <rcc rId="703" sId="6" numFmtId="34">
    <oc r="F41">
      <f>IF(D41=0,'\\domain2\infrastructure\Users\zingarov\Desktop\[Updated 2016_Filing_Requirements_Chapter2_Appendices.xlsm]App.2-CK MIFRS_DepExp_2016'!K41,+'\\domain2\infrastructure\Users\zingarov\Desktop\[Updated 2016_Filing_Requirements_Chapter2_Appendices.xlsm]App.2-CK MIFRS_DepExp_2016'!K41+((C41*0.5)/D41))</f>
    </oc>
    <nc r="F41">
      <v>216420.72579146389</v>
    </nc>
  </rcc>
  <rcc rId="704" sId="6" numFmtId="34">
    <oc r="F42">
      <f>IF(D42=0,'\\domain2\infrastructure\Users\zingarov\Desktop\[Updated 2016_Filing_Requirements_Chapter2_Appendices.xlsm]App.2-CK MIFRS_DepExp_2016'!K42,+'\\domain2\infrastructure\Users\zingarov\Desktop\[Updated 2016_Filing_Requirements_Chapter2_Appendices.xlsm]App.2-CK MIFRS_DepExp_2016'!K42+((C42*0.5)/D42))</f>
    </oc>
    <nc r="F42">
      <v>518.42499999999995</v>
    </nc>
  </rcc>
  <rcc rId="705" sId="6" numFmtId="34">
    <oc r="F43">
      <f>IF(D43=0,'\\domain2\infrastructure\Users\zingarov\Desktop\[Updated 2016_Filing_Requirements_Chapter2_Appendices.xlsm]App.2-CK MIFRS_DepExp_2016'!K43,+'\\domain2\infrastructure\Users\zingarov\Desktop\[Updated 2016_Filing_Requirements_Chapter2_Appendices.xlsm]App.2-CK MIFRS_DepExp_2016'!K43+((C43*0.5)/D43))</f>
    </oc>
    <nc r="F43">
      <v>19973.963000000003</v>
    </nc>
  </rcc>
  <rcc rId="706" sId="6" numFmtId="34">
    <oc r="F44">
      <f>IF(D44=0,'\\domain2\infrastructure\Users\zingarov\Desktop\[Updated 2016_Filing_Requirements_Chapter2_Appendices.xlsm]App.2-CK MIFRS_DepExp_2016'!K44,+'\\domain2\infrastructure\Users\zingarov\Desktop\[Updated 2016_Filing_Requirements_Chapter2_Appendices.xlsm]App.2-CK MIFRS_DepExp_2016'!K44+((C44*0.5)/D44))</f>
    </oc>
    <nc r="F44">
      <v>811.44900000000007</v>
    </nc>
  </rcc>
  <rcc rId="707" sId="6" numFmtId="34">
    <oc r="F45">
      <f>IF(D45=0,'\\domain2\infrastructure\Users\zingarov\Desktop\[Updated 2016_Filing_Requirements_Chapter2_Appendices.xlsm]App.2-CK MIFRS_DepExp_2016'!K45,+'\\domain2\infrastructure\Users\zingarov\Desktop\[Updated 2016_Filing_Requirements_Chapter2_Appendices.xlsm]App.2-CK MIFRS_DepExp_2016'!K45+((C45*0.5)/D45))</f>
    </oc>
    <nc r="F45">
      <v>0</v>
    </nc>
  </rcc>
  <rcc rId="708" sId="6" numFmtId="34">
    <oc r="F46">
      <f>IF(D46=0,'\\domain2\infrastructure\Users\zingarov\Desktop\[Updated 2016_Filing_Requirements_Chapter2_Appendices.xlsm]App.2-CK MIFRS_DepExp_2016'!K46,+'\\domain2\infrastructure\Users\zingarov\Desktop\[Updated 2016_Filing_Requirements_Chapter2_Appendices.xlsm]App.2-CK MIFRS_DepExp_2016'!K46+((C46*0.5)/D46))</f>
    </oc>
    <nc r="F46">
      <v>7517.5259999999998</v>
    </nc>
  </rcc>
  <rcc rId="709" sId="6" numFmtId="34">
    <oc r="F47">
      <f>IF(D47=0,'\\domain2\infrastructure\Users\zingarov\Desktop\[Updated 2016_Filing_Requirements_Chapter2_Appendices.xlsm]App.2-CK MIFRS_DepExp_2016'!K47,+'\\domain2\infrastructure\Users\zingarov\Desktop\[Updated 2016_Filing_Requirements_Chapter2_Appendices.xlsm]App.2-CK MIFRS_DepExp_2016'!K47+((C47*0.5)/D47))</f>
    </oc>
    <nc r="F47">
      <v>0</v>
    </nc>
  </rcc>
  <rcc rId="710" sId="6" numFmtId="34">
    <oc r="F48">
      <f>IF(D48=0,'\\domain2\infrastructure\Users\zingarov\Desktop\[Updated 2016_Filing_Requirements_Chapter2_Appendices.xlsm]App.2-CK MIFRS_DepExp_2016'!K48,+'\\domain2\infrastructure\Users\zingarov\Desktop\[Updated 2016_Filing_Requirements_Chapter2_Appendices.xlsm]App.2-CK MIFRS_DepExp_2016'!K48+((C48*0.5)/D48))</f>
    </oc>
    <nc r="F48">
      <v>0</v>
    </nc>
  </rcc>
  <rcc rId="711" sId="6" numFmtId="34">
    <oc r="F49">
      <f>IF(D49=0,'\\domain2\infrastructure\Users\zingarov\Desktop\[Updated 2016_Filing_Requirements_Chapter2_Appendices.xlsm]App.2-CK MIFRS_DepExp_2016'!K49,+'\\domain2\infrastructure\Users\zingarov\Desktop\[Updated 2016_Filing_Requirements_Chapter2_Appendices.xlsm]App.2-CK MIFRS_DepExp_2016'!K49+((C49*0.5)/D49))</f>
    </oc>
    <nc r="F49">
      <v>0</v>
    </nc>
  </rcc>
  <rcc rId="712" sId="6" numFmtId="34">
    <oc r="F50">
      <f>IF(D50=0,'\\domain2\infrastructure\Users\zingarov\Desktop\[Updated 2016_Filing_Requirements_Chapter2_Appendices.xlsm]App.2-CK MIFRS_DepExp_2016'!K50,+'\\domain2\infrastructure\Users\zingarov\Desktop\[Updated 2016_Filing_Requirements_Chapter2_Appendices.xlsm]App.2-CK MIFRS_DepExp_2016'!K50+((C50*0.5)/D50))</f>
    </oc>
    <nc r="F50">
      <v>0</v>
    </nc>
  </rcc>
  <rcc rId="713" sId="6" numFmtId="34">
    <oc r="F51">
      <f>IF(D51=0,'\\domain2\infrastructure\Users\zingarov\Desktop\[Updated 2016_Filing_Requirements_Chapter2_Appendices.xlsm]App.2-CK MIFRS_DepExp_2016'!K51,+'\\domain2\infrastructure\Users\zingarov\Desktop\[Updated 2016_Filing_Requirements_Chapter2_Appendices.xlsm]App.2-CK MIFRS_DepExp_2016'!K51+((C51*0.5)/D51))</f>
    </oc>
    <nc r="F51">
      <v>68088.467333333334</v>
    </nc>
  </rcc>
  <rcc rId="714" sId="6" numFmtId="34">
    <oc r="F52">
      <f>IF(D52=0,'\\domain2\infrastructure\Users\zingarov\Desktop\[Updated 2016_Filing_Requirements_Chapter2_Appendices.xlsm]App.2-CK MIFRS_DepExp_2016'!K52,+'\\domain2\infrastructure\Users\zingarov\Desktop\[Updated 2016_Filing_Requirements_Chapter2_Appendices.xlsm]App.2-CK MIFRS_DepExp_2016'!K52+((C52*0.5)/D52))</f>
    </oc>
    <nc r="F52">
      <v>0</v>
    </nc>
  </rcc>
  <rcc rId="715" sId="6" numFmtId="34">
    <oc r="F53">
      <f>IF(D53=0,'\\domain2\infrastructure\Users\zingarov\Desktop\[Updated 2016_Filing_Requirements_Chapter2_Appendices.xlsm]App.2-CK MIFRS_DepExp_2016'!K53,+'\\domain2\infrastructure\Users\zingarov\Desktop\[Updated 2016_Filing_Requirements_Chapter2_Appendices.xlsm]App.2-CK MIFRS_DepExp_2016'!K53+((C53*0.5)/D53))</f>
    </oc>
    <nc r="F53">
      <v>0</v>
    </nc>
  </rcc>
  <rcc rId="716" sId="6" numFmtId="34">
    <oc r="F54">
      <f>IF(D54=0,'\\domain2\infrastructure\Users\zingarov\Desktop\[Updated 2016_Filing_Requirements_Chapter2_Appendices.xlsm]App.2-CK MIFRS_DepExp_2016'!K54,+'\\domain2\infrastructure\Users\zingarov\Desktop\[Updated 2016_Filing_Requirements_Chapter2_Appendices.xlsm]App.2-CK MIFRS_DepExp_2016'!K54+((C54*0.5)/D54))</f>
    </oc>
    <nc r="F54">
      <v>-148511.81113071748</v>
    </nc>
  </rcc>
  <rcc rId="717" sId="14" numFmtId="14">
    <oc r="K56">
      <f>'R:\2017 Cost of Service\1.COS Models\BLG Models\Drafts\Revenue Requirement Model FINAL\[UPDATED 2017 Revenue Requirement  Model WITHOUT BUILDING.xlsx]Return on Capital'!$AD$8</f>
    </oc>
    <nc r="K56">
      <v>4.2882135086352649E-2</v>
    </nc>
  </rcc>
  <rcv guid="{FEE3C04B-CD27-4551-A1CF-8272225D231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8" numFmtId="34">
    <oc r="F42">
      <v>17911471.271933988</v>
    </oc>
    <nc r="F42">
      <f>SUM(B42:E42)</f>
    </nc>
  </rcc>
  <rcc rId="2" sId="8" numFmtId="34">
    <oc r="F43">
      <v>16090488</v>
    </oc>
    <nc r="F43">
      <f>SUM(B43:E43)</f>
    </nc>
  </rcc>
  <rcc rId="3" sId="8" numFmtId="34">
    <oc r="F44">
      <v>10158726</v>
    </oc>
    <nc r="F44">
      <f>SUM(B44:E44)</f>
    </nc>
  </rcc>
  <rcc rId="4" sId="8" numFmtId="34">
    <oc r="F45">
      <v>35997464</v>
    </oc>
    <nc r="F45">
      <f>SUM(B45:E45)</f>
    </nc>
  </rcc>
  <rcc rId="5" sId="8">
    <oc r="B42">
      <v>4515774</v>
    </oc>
    <nc r="B42">
      <f>'R:\2017 Cost of Service\Settlement Proposal\[Weather Normalization Regression Model _ v13 - Settlement Proposal.xls]CDM Results'!I27</f>
    </nc>
  </rcc>
  <rcc rId="6" sId="8" numFmtId="34">
    <oc r="C42">
      <v>4502850.9189342298</v>
    </oc>
    <nc r="C42">
      <f>'R:\2017 Cost of Service\Settlement Proposal\[Weather Normalization Regression Model _ v13 - Settlement Proposal.xls]CDM Results'!J27</f>
    </nc>
  </rcc>
  <rcc rId="7" sId="8" numFmtId="34">
    <oc r="D42">
      <v>4498762.0916148899</v>
    </oc>
    <nc r="D42">
      <f>'R:\2017 Cost of Service\Settlement Proposal\[Weather Normalization Regression Model _ v13 - Settlement Proposal.xls]CDM Results'!K27</f>
    </nc>
  </rcc>
  <rcc rId="8" sId="8" odxf="1" dxf="1" numFmtId="34">
    <oc r="E42">
      <v>4394084.261384869</v>
    </oc>
    <nc r="E42">
      <f>'R:\2017 Cost of Service\Settlement Proposal\[Weather Normalization Regression Model _ v13 - Settlement Proposal.xls]CDM Results'!L27</f>
    </nc>
    <odxf>
      <border outline="0">
        <right style="double">
          <color indexed="64"/>
        </right>
      </border>
    </odxf>
    <ndxf>
      <border outline="0">
        <right/>
      </border>
    </ndxf>
  </rcc>
  <rcc rId="9" sId="8" odxf="1" dxf="1" numFmtId="34">
    <oc r="C43">
      <v>5363496</v>
    </oc>
    <nc r="C43">
      <f>'R:\2017 Cost of Service\Settlement Proposal\[Weather Normalization Regression Model _ v13 - Settlement Proposal.xls]CDM Results'!J28</f>
    </nc>
    <odxf>
      <border outline="0">
        <top style="thin">
          <color theme="0"/>
        </top>
      </border>
    </odxf>
    <ndxf>
      <border outline="0">
        <top/>
      </border>
    </ndxf>
  </rcc>
  <rcc rId="10" sId="8" odxf="1" dxf="1" numFmtId="34">
    <oc r="D43">
      <v>5363496</v>
    </oc>
    <nc r="D43">
      <f>'R:\2017 Cost of Service\Settlement Proposal\[Weather Normalization Regression Model _ v13 - Settlement Proposal.xls]CDM Results'!K28</f>
    </nc>
    <odxf>
      <border outline="0">
        <top style="thin">
          <color theme="0"/>
        </top>
      </border>
    </odxf>
    <ndxf>
      <border outline="0">
        <top/>
      </border>
    </ndxf>
  </rcc>
  <rcc rId="11" sId="8" odxf="1" dxf="1" numFmtId="34">
    <oc r="E43">
      <v>5363496</v>
    </oc>
    <nc r="E43">
      <f>'R:\2017 Cost of Service\Settlement Proposal\[Weather Normalization Regression Model _ v13 - Settlement Proposal.xls]CDM Results'!L28</f>
    </nc>
    <odxf>
      <border outline="0">
        <right style="double">
          <color indexed="64"/>
        </right>
        <top style="thin">
          <color theme="0"/>
        </top>
      </border>
    </odxf>
    <ndxf>
      <border outline="0">
        <right/>
        <top/>
      </border>
    </ndxf>
  </rcc>
  <rcc rId="12" sId="8" odxf="1" dxf="1" numFmtId="34">
    <oc r="D44">
      <v>5079363</v>
    </oc>
    <nc r="D44">
      <f>'R:\2017 Cost of Service\Settlement Proposal\[Weather Normalization Regression Model _ v13 - Settlement Proposal.xls]CDM Results'!K29</f>
    </nc>
    <odxf>
      <border outline="0">
        <top style="thin">
          <color theme="0"/>
        </top>
      </border>
    </odxf>
    <ndxf>
      <border outline="0">
        <top/>
      </border>
    </ndxf>
  </rcc>
  <rcc rId="13" sId="8" odxf="1" dxf="1" numFmtId="34">
    <oc r="E44">
      <v>5079363</v>
    </oc>
    <nc r="E44">
      <f>'R:\2017 Cost of Service\Settlement Proposal\[Weather Normalization Regression Model _ v13 - Settlement Proposal.xls]CDM Results'!L29</f>
    </nc>
    <odxf>
      <border outline="0">
        <right style="double">
          <color indexed="64"/>
        </right>
        <top style="thin">
          <color theme="0"/>
        </top>
      </border>
    </odxf>
    <ndxf>
      <border outline="0">
        <right/>
        <top/>
      </border>
    </ndxf>
  </rcc>
  <rcc rId="14" sId="8" numFmtId="34">
    <oc r="E45">
      <v>35997464</v>
    </oc>
    <nc r="E45">
      <f>'R:\2017 Cost of Service\Settlement Proposal\[Weather Normalization Regression Model _ v13 - Settlement Proposal.xls]CDM Results'!L30</f>
    </nc>
  </rcc>
  <rcc rId="15" sId="8" numFmtId="34">
    <oc r="H64">
      <v>5239000</v>
    </oc>
    <nc r="H64">
      <f>SUM(B64:G64)</f>
    </nc>
  </rcc>
  <rcc rId="16" sId="8" numFmtId="34">
    <oc r="H65">
      <v>7730071.7124323156</v>
    </oc>
    <nc r="H65">
      <f>SUM(B65:G65)</f>
    </nc>
  </rcc>
  <rcc rId="17" sId="8" numFmtId="34">
    <oc r="H66">
      <v>15611676.181214109</v>
    </oc>
    <nc r="H66">
      <f>SUM(B66:G66)</f>
    </nc>
  </rcc>
  <rcc rId="18" sId="8" numFmtId="34">
    <oc r="H67">
      <v>13356198.976833286</v>
    </oc>
    <nc r="H67">
      <f>SUM(B67:G67)</f>
    </nc>
  </rcc>
  <rcc rId="19" sId="8" numFmtId="34">
    <oc r="H68">
      <v>6228066.8658145927</v>
    </oc>
    <nc r="H68">
      <f>SUM(B68:G68)</f>
    </nc>
  </rcc>
  <rcc rId="20" sId="8" numFmtId="34">
    <oc r="H69">
      <v>6207000.9269017065</v>
    </oc>
    <nc r="H69">
      <f>SUM(B69:G69)</f>
    </nc>
  </rcc>
  <rcc rId="21" sId="15" numFmtId="34">
    <oc r="D17">
      <v>11772770.518038562</v>
    </oc>
    <nc r="D17">
      <f>'R:\2017 Cost of Service\Settlement Proposal\[2016_Cost_Allocation_Model _ Settlement Proposal.xlsm]O1 Revenue to cost|RR'!$D$40</f>
    </nc>
  </rcc>
  <rcc rId="22" sId="15" numFmtId="34">
    <oc r="D18">
      <v>2118377.5032604421</v>
    </oc>
    <nc r="D18">
      <f>'R:\2017 Cost of Service\Settlement Proposal\[2016_Cost_Allocation_Model _ Settlement Proposal.xlsm]O1 Revenue to cost|RR'!$E$40</f>
    </nc>
  </rcc>
  <rcc rId="23" sId="15" numFmtId="34">
    <oc r="D19">
      <v>4062083.9457754823</v>
    </oc>
    <nc r="D19">
      <f>'R:\2017 Cost of Service\Settlement Proposal\[2016_Cost_Allocation_Model _ Settlement Proposal.xlsm]O1 Revenue to cost|RR'!$F$40</f>
    </nc>
  </rcc>
  <rcc rId="24" sId="15" numFmtId="34">
    <oc r="D22">
      <v>277514.61828266212</v>
    </oc>
    <nc r="D22">
      <f>'R:\2017 Cost of Service\Settlement Proposal\[2016_Cost_Allocation_Model _ Settlement Proposal.xlsm]O1 Revenue to cost|RR'!$J$40</f>
    </nc>
  </rcc>
  <rcc rId="25" sId="15" numFmtId="34">
    <oc r="D23">
      <v>57645.193645030406</v>
    </oc>
    <nc r="D23">
      <f>'R:\2017 Cost of Service\Settlement Proposal\[2016_Cost_Allocation_Model _ Settlement Proposal.xlsm]O1 Revenue to cost|RR'!$K$40</f>
    </nc>
  </rcc>
  <rcc rId="26" sId="15" numFmtId="34">
    <oc r="D24">
      <v>76555.194167376467</v>
    </oc>
    <nc r="D24">
      <f>'R:\2017 Cost of Service\Settlement Proposal\[2016_Cost_Allocation_Model _ Settlement Proposal.xlsm]O1 Revenue to cost|RR'!$L$40</f>
    </nc>
  </rcc>
  <rcc rId="27" sId="15" numFmtId="34">
    <oc r="D27">
      <v>210394.33953098516</v>
    </oc>
    <nc r="D27">
      <f>'R:\2017 Cost of Service\Settlement Proposal\[2016_Cost_Allocation_Model _ Settlement Proposal.xlsm]O1 Revenue to cost|RR'!$M$40</f>
    </nc>
  </rcc>
  <rcc rId="28" sId="15" numFmtId="14">
    <oc r="E17">
      <v>0.63378488286452916</v>
    </oc>
    <nc r="E17">
      <f>D17/$D$28</f>
    </nc>
  </rcc>
  <rcc rId="29" sId="15" numFmtId="14">
    <oc r="E18">
      <v>0.1140424537885633</v>
    </oc>
    <nc r="E18">
      <f>D18/$D$28</f>
    </nc>
  </rcc>
  <rcc rId="30" sId="15" numFmtId="14">
    <oc r="E19">
      <v>0.21868152392969001</v>
    </oc>
    <nc r="E19">
      <f>D19/$D$28</f>
    </nc>
  </rcc>
  <rcc rId="31" sId="15" numFmtId="14">
    <oc r="E20">
      <v>0</v>
    </oc>
    <nc r="E20">
      <f>D20/$D$28</f>
    </nc>
  </rcc>
  <rcc rId="32" sId="15" numFmtId="14">
    <oc r="E21">
      <v>0</v>
    </oc>
    <nc r="E21">
      <f>D21/$D$28</f>
    </nc>
  </rcc>
  <rcc rId="33" sId="15" numFmtId="14">
    <oc r="E22">
      <v>1.4939947191867572E-2</v>
    </oc>
    <nc r="E22">
      <f>D22/$D$28</f>
    </nc>
  </rcc>
  <rcc rId="34" sId="15" numFmtId="14">
    <oc r="E23">
      <v>3.1033181396035287E-3</v>
    </oc>
    <nc r="E23">
      <f>D23/$D$28</f>
    </nc>
  </rcc>
  <rcc rId="35" sId="15" numFmtId="14">
    <oc r="E24">
      <v>4.1213344551054515E-3</v>
    </oc>
    <nc r="E24">
      <f>D24/$D$28</f>
    </nc>
  </rcc>
  <rcc rId="36" sId="15" numFmtId="14">
    <oc r="E25">
      <v>0</v>
    </oc>
    <nc r="E25">
      <f>D25/$D$28</f>
    </nc>
  </rcc>
  <rcc rId="37" sId="15" numFmtId="14">
    <oc r="E26">
      <v>0</v>
    </oc>
    <nc r="E26">
      <f>D26/$D$28</f>
    </nc>
  </rcc>
  <rcc rId="38" sId="15" numFmtId="14">
    <oc r="E27">
      <v>1.1326539630640972E-2</v>
    </oc>
    <nc r="E27">
      <f>D27/$D$28</f>
    </nc>
  </rcc>
  <rcc rId="39" sId="15" numFmtId="14">
    <oc r="E28">
      <v>0.99999999999999989</v>
    </oc>
    <nc r="E28">
      <f>SUM(E17:E27)</f>
    </nc>
  </rcc>
  <rcc rId="40" sId="15">
    <oc r="D44">
      <v>1.0422725910593156</v>
    </oc>
    <nc r="D44">
      <f>'R:\2017 Cost of Service\Settlement Proposal\[2016_Cost_Allocation_Model _ Settlement Proposal.xlsm]O1 Revenue to cost|RR'!$C$22</f>
    </nc>
  </rcc>
  <rcc rId="41" sId="15" numFmtId="34">
    <oc r="D48">
      <v>10128825.227956736</v>
    </oc>
    <nc r="D48">
      <f>C48*$D$44</f>
    </nc>
  </rcc>
  <rcc rId="42" sId="15" odxf="1" dxf="1" numFmtId="34">
    <oc r="D49">
      <v>1683183.8172896965</v>
    </oc>
    <nc r="D49">
      <f>C49*$D$44</f>
    </nc>
    <odxf>
      <numFmt numFmtId="169" formatCode="_-&quot;$&quot;* #,##0_-;\-&quot;$&quot;* #,##0_-;_-&quot;$&quot;* &quot;-&quot;??_-;_-@_-"/>
    </odxf>
    <ndxf>
      <numFmt numFmtId="34" formatCode="_(&quot;$&quot;* #,##0.00_);_(&quot;$&quot;* \(#,##0.00\);_(&quot;$&quot;* &quot;-&quot;??_);_(@_)"/>
    </ndxf>
  </rcc>
  <rcc rId="43" sId="15" odxf="1" dxf="1" numFmtId="34">
    <oc r="D50">
      <v>5174028.2439073641</v>
    </oc>
    <nc r="D50">
      <f>C50*$D$44</f>
    </nc>
    <odxf>
      <numFmt numFmtId="169" formatCode="_-&quot;$&quot;* #,##0_-;\-&quot;$&quot;* #,##0_-;_-&quot;$&quot;* &quot;-&quot;??_-;_-@_-"/>
    </odxf>
    <ndxf>
      <numFmt numFmtId="34" formatCode="_(&quot;$&quot;* #,##0.00_);_(&quot;$&quot;* \(#,##0.00\);_(&quot;$&quot;* &quot;-&quot;??_);_(@_)"/>
    </ndxf>
  </rcc>
  <rcc rId="44" sId="15" odxf="1" dxf="1">
    <nc r="D51">
      <f>C51*$D$44</f>
    </nc>
    <odxf>
      <numFmt numFmtId="169" formatCode="_-&quot;$&quot;* #,##0_-;\-&quot;$&quot;* #,##0_-;_-&quot;$&quot;* &quot;-&quot;??_-;_-@_-"/>
    </odxf>
    <ndxf>
      <numFmt numFmtId="34" formatCode="_(&quot;$&quot;* #,##0.00_);_(&quot;$&quot;* \(#,##0.00\);_(&quot;$&quot;* &quot;-&quot;??_);_(@_)"/>
    </ndxf>
  </rcc>
  <rcc rId="45" sId="15" odxf="1" dxf="1">
    <nc r="D52">
      <f>C52*$D$44</f>
    </nc>
    <odxf>
      <numFmt numFmtId="169" formatCode="_-&quot;$&quot;* #,##0_-;\-&quot;$&quot;* #,##0_-;_-&quot;$&quot;* &quot;-&quot;??_-;_-@_-"/>
    </odxf>
    <ndxf>
      <numFmt numFmtId="34" formatCode="_(&quot;$&quot;* #,##0.00_);_(&quot;$&quot;* \(#,##0.00\);_(&quot;$&quot;* &quot;-&quot;??_);_(@_)"/>
    </ndxf>
  </rcc>
  <rcc rId="46" sId="15" odxf="1" dxf="1" numFmtId="34">
    <oc r="D53">
      <v>119086.66506070233</v>
    </oc>
    <nc r="D53">
      <f>C53*$D$44</f>
    </nc>
    <odxf>
      <numFmt numFmtId="169" formatCode="_-&quot;$&quot;* #,##0_-;\-&quot;$&quot;* #,##0_-;_-&quot;$&quot;* &quot;-&quot;??_-;_-@_-"/>
    </odxf>
    <ndxf>
      <numFmt numFmtId="34" formatCode="_(&quot;$&quot;* #,##0.00_);_(&quot;$&quot;* \(#,##0.00\);_(&quot;$&quot;* &quot;-&quot;??_);_(@_)"/>
    </ndxf>
  </rcc>
  <rcc rId="47" sId="15" odxf="1" dxf="1" numFmtId="34">
    <oc r="D54">
      <v>53631.893052780353</v>
    </oc>
    <nc r="D54">
      <f>C54*$D$44</f>
    </nc>
    <odxf>
      <numFmt numFmtId="169" formatCode="_-&quot;$&quot;* #,##0_-;\-&quot;$&quot;* #,##0_-;_-&quot;$&quot;* &quot;-&quot;??_-;_-@_-"/>
    </odxf>
    <ndxf>
      <numFmt numFmtId="34" formatCode="_(&quot;$&quot;* #,##0.00_);_(&quot;$&quot;* \(#,##0.00\);_(&quot;$&quot;* &quot;-&quot;??_);_(@_)"/>
    </ndxf>
  </rcc>
  <rcc rId="48" sId="15" odxf="1" dxf="1" numFmtId="34">
    <oc r="D55">
      <v>79404.22348719943</v>
    </oc>
    <nc r="D55">
      <f>C55*$D$44</f>
    </nc>
    <odxf>
      <numFmt numFmtId="169" formatCode="_-&quot;$&quot;* #,##0_-;\-&quot;$&quot;* #,##0_-;_-&quot;$&quot;* &quot;-&quot;??_-;_-@_-"/>
    </odxf>
    <ndxf>
      <numFmt numFmtId="34" formatCode="_(&quot;$&quot;* #,##0.00_);_(&quot;$&quot;* \(#,##0.00\);_(&quot;$&quot;* &quot;-&quot;??_);_(@_)"/>
    </ndxf>
  </rcc>
  <rcc rId="49" sId="15" odxf="1" dxf="1">
    <nc r="D56">
      <f>C56*$D$44</f>
    </nc>
    <odxf>
      <numFmt numFmtId="169" formatCode="_-&quot;$&quot;* #,##0_-;\-&quot;$&quot;* #,##0_-;_-&quot;$&quot;* &quot;-&quot;??_-;_-@_-"/>
    </odxf>
    <ndxf>
      <numFmt numFmtId="34" formatCode="_(&quot;$&quot;* #,##0.00_);_(&quot;$&quot;* \(#,##0.00\);_(&quot;$&quot;* &quot;-&quot;??_);_(@_)"/>
    </ndxf>
  </rcc>
  <rcc rId="50" sId="15" odxf="1" dxf="1">
    <nc r="D57">
      <f>C57*$D$44</f>
    </nc>
    <odxf>
      <numFmt numFmtId="169" formatCode="_-&quot;$&quot;* #,##0_-;\-&quot;$&quot;* #,##0_-;_-&quot;$&quot;* &quot;-&quot;??_-;_-@_-"/>
    </odxf>
    <ndxf>
      <numFmt numFmtId="34" formatCode="_(&quot;$&quot;* #,##0.00_);_(&quot;$&quot;* \(#,##0.00\);_(&quot;$&quot;* &quot;-&quot;??_);_(@_)"/>
    </ndxf>
  </rcc>
  <rcc rId="51" sId="15" odxf="1" dxf="1" numFmtId="34">
    <oc r="D58">
      <v>167889.1931329096</v>
    </oc>
    <nc r="D58">
      <f>C58*$D$44</f>
    </nc>
    <odxf>
      <numFmt numFmtId="169" formatCode="_-&quot;$&quot;* #,##0_-;\-&quot;$&quot;* #,##0_-;_-&quot;$&quot;* &quot;-&quot;??_-;_-@_-"/>
      <border outline="0">
        <bottom/>
      </border>
    </odxf>
    <ndxf>
      <numFmt numFmtId="34" formatCode="_(&quot;$&quot;* #,##0.00_);_(&quot;$&quot;* \(#,##0.00\);_(&quot;$&quot;* &quot;-&quot;??_);_(@_)"/>
      <border outline="0">
        <bottom style="thin">
          <color indexed="64"/>
        </bottom>
      </border>
    </ndxf>
  </rcc>
  <rcc rId="52" sId="15" numFmtId="34">
    <oc r="D59">
      <v>17406049.26388739</v>
    </oc>
    <nc r="D59">
      <f>SUM(D48:D58)</f>
    </nc>
  </rcc>
  <rfmt sheetId="15" sqref="D48:D58">
    <dxf>
      <numFmt numFmtId="184" formatCode="_(&quot;$&quot;* #,##0.0_);_(&quot;$&quot;* \(#,##0.0\);_(&quot;$&quot;* &quot;-&quot;??_);_(@_)"/>
    </dxf>
  </rfmt>
  <rfmt sheetId="15" sqref="D48:D58">
    <dxf>
      <numFmt numFmtId="185" formatCode="_(&quot;$&quot;* #,##0_);_(&quot;$&quot;* \(#,##0\);_(&quot;$&quot;* &quot;-&quot;??_);_(@_)"/>
    </dxf>
  </rfmt>
  <rcc rId="53" sId="15" numFmtId="34">
    <oc r="F48">
      <v>836298.46649242006</v>
    </oc>
    <nc r="F48">
      <f>'R:\2017 Cost of Service\Settlement Proposal\[2016_Cost_Allocation_Model _ Settlement Proposal.xlsm]O1 Revenue to cost|RR'!$D$24</f>
    </nc>
  </rcc>
  <rcc rId="54" sId="15" numFmtId="34">
    <oc r="F49">
      <v>122967.79518250053</v>
    </oc>
    <nc r="F49">
      <f>'R:\2017 Cost of Service\Settlement Proposal\[2016_Cost_Allocation_Model _ Settlement Proposal.xlsm]O1 Revenue to cost|RR'!$E$24</f>
    </nc>
  </rcc>
  <rcc rId="55" sId="15" numFmtId="34">
    <oc r="F50">
      <v>172894.49423387571</v>
    </oc>
    <nc r="F50">
      <f>'R:\2017 Cost of Service\Settlement Proposal\[2016_Cost_Allocation_Model _ Settlement Proposal.xlsm]O1 Revenue to cost|RR'!$F$24</f>
    </nc>
  </rcc>
  <rcc rId="56" sId="15" numFmtId="34">
    <oc r="F53">
      <v>21120.70470588571</v>
    </oc>
    <nc r="F53">
      <f>'R:\2017 Cost of Service\Settlement Proposal\[2016_Cost_Allocation_Model _ Settlement Proposal.xlsm]O1 Revenue to cost|RR'!$J$24</f>
    </nc>
  </rcc>
  <rcc rId="57" sId="15" numFmtId="34">
    <oc r="F54">
      <v>3272.9130437699619</v>
    </oc>
    <nc r="F54">
      <f>'R:\2017 Cost of Service\Settlement Proposal\[2016_Cost_Allocation_Model _ Settlement Proposal.xlsm]O1 Revenue to cost|RR'!$K$24</f>
    </nc>
  </rcc>
  <rcc rId="58" sId="15" numFmtId="34">
    <oc r="F55">
      <v>5838.9557719099266</v>
    </oc>
    <nc r="F55">
      <f>'R:\2017 Cost of Service\Settlement Proposal\[2016_Cost_Allocation_Model _ Settlement Proposal.xlsm]O1 Revenue to cost|RR'!$L$24</f>
    </nc>
  </rcc>
  <rcc rId="59" sId="15" numFmtId="34">
    <oc r="F58">
      <v>6898.7193827906949</v>
    </oc>
    <nc r="F58">
      <f>'R:\2017 Cost of Service\Settlement Proposal\[2016_Cost_Allocation_Model _ Settlement Proposal.xlsm]O1 Revenue to cost|RR'!$M$24</f>
    </nc>
  </rcc>
  <rcc rId="60" sId="15" numFmtId="34">
    <oc r="F59">
      <v>1169292.0488131526</v>
    </oc>
    <nc r="F59">
      <f>SUM(F48:F58)</f>
    </nc>
  </rcc>
  <rcc rId="61" sId="15" numFmtId="34">
    <oc r="D80">
      <v>93.139704690990911</v>
    </oc>
    <nc r="D80">
      <f>(D48+F48)/D17</f>
    </nc>
  </rcc>
  <rfmt sheetId="15" sqref="D80">
    <dxf>
      <numFmt numFmtId="13" formatCode="0%"/>
    </dxf>
  </rfmt>
  <rfmt sheetId="15" sqref="D80">
    <dxf>
      <numFmt numFmtId="168" formatCode="0.0%"/>
    </dxf>
  </rfmt>
  <rfmt sheetId="15" sqref="D80">
    <dxf>
      <numFmt numFmtId="14" formatCode="0.00%"/>
    </dxf>
  </rfmt>
  <rcc rId="62" sId="15" odxf="1" dxf="1" numFmtId="14">
    <oc r="D81">
      <v>85.261083527006349</v>
    </oc>
    <nc r="D81">
      <f>(D49+F49)/D18</f>
    </nc>
    <odxf>
      <numFmt numFmtId="167" formatCode="_-* #,##0.00_-;\-* #,##0.00_-;_-* &quot;-&quot;??_-;_-@_-"/>
    </odxf>
    <ndxf>
      <numFmt numFmtId="14" formatCode="0.00%"/>
    </ndxf>
  </rcc>
  <rcc rId="63" sId="15" odxf="1" dxf="1" numFmtId="14">
    <oc r="D82">
      <v>131.63004038116873</v>
    </oc>
    <nc r="D82">
      <f>(D50+F50)/D19</f>
    </nc>
    <odxf>
      <numFmt numFmtId="167" formatCode="_-* #,##0.00_-;\-* #,##0.00_-;_-* &quot;-&quot;??_-;_-@_-"/>
    </odxf>
    <ndxf>
      <numFmt numFmtId="14" formatCode="0.00%"/>
    </ndxf>
  </rcc>
  <rcc rId="64" sId="15" odxf="1" dxf="1" numFmtId="14">
    <oc r="D85">
      <v>50.522516844060448</v>
    </oc>
    <nc r="D85">
      <f>(D53+F53)/D22</f>
    </nc>
    <odxf>
      <numFmt numFmtId="167" formatCode="_-* #,##0.00_-;\-* #,##0.00_-;_-* &quot;-&quot;??_-;_-@_-"/>
    </odxf>
    <ndxf>
      <numFmt numFmtId="14" formatCode="0.00%"/>
    </ndxf>
  </rcc>
  <rcc rId="65" sId="15" odxf="1" dxf="1" numFmtId="14">
    <oc r="D86">
      <v>98.715612696109105</v>
    </oc>
    <nc r="D86">
      <f>(D54+F54)/D23</f>
    </nc>
    <odxf>
      <numFmt numFmtId="167" formatCode="_-* #,##0.00_-;\-* #,##0.00_-;_-* &quot;-&quot;??_-;_-@_-"/>
    </odxf>
    <ndxf>
      <numFmt numFmtId="14" formatCode="0.00%"/>
    </ndxf>
  </rcc>
  <rcc rId="66" sId="15" odxf="1" dxf="1" numFmtId="14">
    <oc r="D87">
      <v>111.34865528880759</v>
    </oc>
    <nc r="D87">
      <f>(D55+F55)/D24</f>
    </nc>
    <odxf>
      <numFmt numFmtId="167" formatCode="_-* #,##0.00_-;\-* #,##0.00_-;_-* &quot;-&quot;??_-;_-@_-"/>
    </odxf>
    <ndxf>
      <numFmt numFmtId="14" formatCode="0.00%"/>
    </ndxf>
  </rcc>
  <rcc rId="67" sId="15" numFmtId="34">
    <oc r="D90">
      <v>83.076337940146416</v>
    </oc>
    <nc r="D90">
      <f>(D58+F58)/D27</f>
    </nc>
  </rcc>
  <rfmt sheetId="15" sqref="D90">
    <dxf>
      <numFmt numFmtId="13" formatCode="0%"/>
    </dxf>
  </rfmt>
  <rfmt sheetId="15" sqref="D90">
    <dxf>
      <numFmt numFmtId="168" formatCode="0.0%"/>
    </dxf>
  </rfmt>
  <rfmt sheetId="15" sqref="D90">
    <dxf>
      <numFmt numFmtId="14" formatCode="0.00%"/>
    </dxf>
  </rfmt>
  <rcc rId="68" sId="15">
    <oc r="E48">
      <v>10133760.998375356</v>
    </oc>
    <nc r="E48">
      <f>'R:\2017 Cost of Service\Settlement Proposal\[2016 01 19 Rate Design Model_FINAL - Settlement Proposal.xlsx]Cost Allocation Study'!K5</f>
    </nc>
  </rcc>
  <rcc rId="69" sId="15">
    <oc r="E49">
      <v>1850970.8919088827</v>
    </oc>
    <nc r="E49">
      <f>'R:\2017 Cost of Service\Settlement Proposal\[2016 01 19 Rate Design Model_FINAL - Settlement Proposal.xlsx]Cost Allocation Study'!$K$6</f>
    </nc>
  </rcc>
  <rcc rId="70" sId="15">
    <oc r="E50">
      <v>4701606.2406967031</v>
    </oc>
    <nc r="E50">
      <f>'R:\2017 Cost of Service\Settlement Proposal\[2016 01 19 Rate Design Model_FINAL - Settlement Proposal.xlsx]Cost Allocation Study'!$K$7</f>
    </nc>
  </rcc>
  <rcc rId="71" sId="15">
    <oc r="E53">
      <v>237471.94009817688</v>
    </oc>
    <nc r="E53">
      <f>'R:\2017 Cost of Service\Settlement Proposal\[2016 01 19 Rate Design Model_FINAL - Settlement Proposal.xlsx]Cost Allocation Study'!$K$8</f>
    </nc>
  </rcc>
  <rcc rId="72" sId="15">
    <oc r="E54">
      <v>53631.893052780353</v>
    </oc>
    <nc r="E54">
      <f>'R:\2017 Cost of Service\Settlement Proposal\[2016 01 19 Rate Design Model_FINAL - Settlement Proposal.xlsx]Cost Allocation Study'!$K$10</f>
    </nc>
  </rcc>
  <rcc rId="73" sId="15">
    <oc r="E55">
      <v>79404.22348719943</v>
    </oc>
    <nc r="E55">
      <f>'R:\2017 Cost of Service\Settlement Proposal\[2016 01 19 Rate Design Model_FINAL - Settlement Proposal.xlsx]Cost Allocation Study'!$K$11</f>
    </nc>
  </rcc>
  <rcc rId="74" sId="15">
    <oc r="E58">
      <v>203495.62014819446</v>
    </oc>
    <nc r="E58">
      <f>'R:\2017 Cost of Service\Settlement Proposal\[2016 01 19 Rate Design Model_FINAL - Settlement Proposal.xlsx]Cost Allocation Study'!$K$12</f>
    </nc>
  </rcc>
  <rcc rId="75" sId="15" numFmtId="34">
    <oc r="E80">
      <v>93.181629999999998</v>
    </oc>
    <nc r="E80">
      <f>(E48+F48)/D17</f>
    </nc>
  </rcc>
  <rfmt sheetId="15" sqref="E80">
    <dxf>
      <numFmt numFmtId="13" formatCode="0%"/>
    </dxf>
  </rfmt>
  <rfmt sheetId="15" sqref="E80">
    <dxf>
      <numFmt numFmtId="168" formatCode="0.0%"/>
    </dxf>
  </rfmt>
  <rcc rId="76" sId="15" odxf="1" dxf="1" numFmtId="14">
    <oc r="E81">
      <v>93.181629999999998</v>
    </oc>
    <nc r="E81">
      <f>(E49+F49)/D18</f>
    </nc>
    <odxf>
      <numFmt numFmtId="167" formatCode="_-* #,##0.00_-;\-* #,##0.00_-;_-* &quot;-&quot;??_-;_-@_-"/>
    </odxf>
    <ndxf>
      <numFmt numFmtId="168" formatCode="0.0%"/>
    </ndxf>
  </rcc>
  <rcc rId="77" sId="15" odxf="1" dxf="1" numFmtId="14">
    <oc r="E82">
      <v>120</v>
    </oc>
    <nc r="E82">
      <f>(E50+F50)/D19</f>
    </nc>
    <odxf>
      <numFmt numFmtId="167" formatCode="_-* #,##0.00_-;\-* #,##0.00_-;_-* &quot;-&quot;??_-;_-@_-"/>
    </odxf>
    <ndxf>
      <numFmt numFmtId="168" formatCode="0.0%"/>
    </ndxf>
  </rcc>
  <rcc rId="78" sId="15" numFmtId="34">
    <oc r="E85">
      <v>93.181629999999998</v>
    </oc>
    <nc r="E85">
      <f>(E53+F53)/D22</f>
    </nc>
  </rcc>
  <rcc rId="79" sId="15" numFmtId="34">
    <oc r="E86">
      <v>98.715612696109105</v>
    </oc>
    <nc r="E86">
      <f>(E54+F54)/D23</f>
    </nc>
  </rcc>
  <rcc rId="80" sId="15" numFmtId="34">
    <oc r="E87">
      <v>111.34865528880759</v>
    </oc>
    <nc r="E87">
      <f>(E55+F55)/D24</f>
    </nc>
  </rcc>
  <rfmt sheetId="15" sqref="E85:E87">
    <dxf>
      <numFmt numFmtId="13" formatCode="0%"/>
    </dxf>
  </rfmt>
  <rfmt sheetId="15" sqref="E85:E87">
    <dxf>
      <numFmt numFmtId="168" formatCode="0.0%"/>
    </dxf>
  </rfmt>
  <rfmt sheetId="15" sqref="E85:E87">
    <dxf>
      <numFmt numFmtId="14" formatCode="0.00%"/>
    </dxf>
  </rfmt>
  <rcc rId="81" sId="15" numFmtId="34">
    <oc r="E90">
      <v>100</v>
    </oc>
    <nc r="E90">
      <f>(E58+F58)/D27</f>
    </nc>
  </rcc>
  <rfmt sheetId="15" sqref="E90">
    <dxf>
      <numFmt numFmtId="13" formatCode="0%"/>
    </dxf>
  </rfmt>
  <rfmt sheetId="15" sqref="E90">
    <dxf>
      <numFmt numFmtId="168" formatCode="0.0%"/>
    </dxf>
  </rfmt>
  <rfmt sheetId="15" sqref="E90">
    <dxf>
      <numFmt numFmtId="14" formatCode="0.00%"/>
    </dxf>
  </rfmt>
  <rcv guid="{AE01795C-0F1A-4D22-B411-4CB1D681CFC8}" action="delete"/>
  <rcv guid="{AE01795C-0F1A-4D22-B411-4CB1D681CFC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6" numFmtId="34">
    <oc r="B17">
      <v>36432.680734342255</v>
    </oc>
    <nc r="B17">
      <f>'R:\2017 Cost of Service\Settlement Proposal\[Weather Normalization Regression Model _ v13 - Settlement Proposal.xls]Summary'!$M$12</f>
    </nc>
  </rcc>
  <rcc rId="83" sId="16" numFmtId="34">
    <oc r="B18">
      <v>301593274.34950149</v>
    </oc>
    <nc r="B18">
      <f>'R:\2017 Cost of Service\Settlement Proposal\[Weather Normalization Regression Model _ v13 - Settlement Proposal.xls]Summary'!$M$13</f>
    </nc>
  </rcc>
  <rcc rId="84" sId="16" numFmtId="34">
    <oc r="B20">
      <v>10133760.998375356</v>
    </oc>
    <nc r="B20">
      <f>'R:\2017 Cost of Service\Settlement Proposal\[2016 01 19 Rate Design Model_FINAL - Settlement Proposal.xlsx]Cost Allocation Study'!$K$5</f>
    </nc>
  </rcc>
  <rcc rId="85" sId="16">
    <oc r="B29">
      <v>14.64</v>
    </oc>
    <nc r="B29">
      <f>IF(B23="","",B23)</f>
    </nc>
  </rcc>
  <rcc rId="86" sId="16" odxf="1" s="1" dxf="1" numFmtId="34">
    <oc r="C29">
      <v>36432.680734342255</v>
    </oc>
    <nc r="C29">
      <f>IF(B17="","",B17)</f>
    </nc>
    <odxf>
      <font>
        <b val="0"/>
        <i val="0"/>
        <strike val="0"/>
        <condense val="0"/>
        <extend val="0"/>
        <outline val="0"/>
        <shadow val="0"/>
        <u val="none"/>
        <vertAlign val="baseline"/>
        <sz val="10"/>
        <color auto="1"/>
        <name val="Arial"/>
        <scheme val="none"/>
      </font>
      <numFmt numFmtId="170" formatCode="_-* #,##0_-;\-* #,##0_-;_-* &quot;-&quot;??_-;_-@_-"/>
      <border diagonalUp="0" diagonalDown="0" outline="0">
        <left style="thin">
          <color indexed="64"/>
        </left>
        <right style="thin">
          <color indexed="64"/>
        </right>
        <top/>
        <bottom style="thin">
          <color indexed="64"/>
        </bottom>
      </border>
      <protection locked="0" hidden="0"/>
    </odxf>
    <ndxf>
      <font>
        <sz val="11"/>
        <color theme="1"/>
        <name val="Calibri"/>
        <scheme val="minor"/>
      </font>
    </ndxf>
  </rcc>
  <rcc rId="87" sId="16" odxf="1" s="1" dxf="1" numFmtId="34">
    <oc r="D29">
      <v>6400493.3514092471</v>
    </oc>
    <nc r="D29">
      <f>IF(ISERROR(B29*C29*12),"",B29*C29*12)</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thin">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88" sId="16" odxf="1" s="1" dxf="1" numFmtId="14">
    <oc r="E29">
      <v>0.65862117662158293</v>
    </oc>
    <nc r="E29">
      <f>IF(ISERROR(D29/D31),"",D29/D31)</f>
    </nc>
    <odxf>
      <font>
        <b val="0"/>
        <i val="0"/>
        <strike val="0"/>
        <condense val="0"/>
        <extend val="0"/>
        <outline val="0"/>
        <shadow val="0"/>
        <u val="none"/>
        <vertAlign val="baseline"/>
        <sz val="10"/>
        <color auto="1"/>
        <name val="Arial"/>
        <scheme val="none"/>
      </font>
      <numFmt numFmtId="14" formatCode="0.00%"/>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dxf>
  </rcc>
  <rcc rId="89" sId="16">
    <oc r="B30">
      <v>1.0999999999999999E-2</v>
    </oc>
    <nc r="B30">
      <f>IF(B24="","",B24)</f>
    </nc>
  </rcc>
  <rcc rId="90" sId="16" odxf="1" s="1" dxf="1" numFmtId="34">
    <oc r="C30">
      <v>301593274.34950149</v>
    </oc>
    <nc r="C30">
      <f>IF(B18="","",B18)</f>
    </nc>
    <odxf>
      <font>
        <b val="0"/>
        <i val="0"/>
        <strike val="0"/>
        <condense val="0"/>
        <extend val="0"/>
        <outline val="0"/>
        <shadow val="0"/>
        <u val="none"/>
        <vertAlign val="baseline"/>
        <sz val="10"/>
        <color auto="1"/>
        <name val="Arial"/>
        <scheme val="none"/>
      </font>
      <numFmt numFmtId="170" formatCode="_-* #,##0_-;\-* #,##0_-;_-* &quot;-&quot;??_-;_-@_-"/>
      <border diagonalUp="0" diagonalDown="0" outline="0">
        <left style="thin">
          <color indexed="64"/>
        </left>
        <right style="thin">
          <color indexed="64"/>
        </right>
        <top style="thin">
          <color indexed="64"/>
        </top>
        <bottom/>
      </border>
      <protection locked="0" hidden="0"/>
    </odxf>
    <ndxf>
      <font>
        <sz val="11"/>
        <color theme="1"/>
        <name val="Calibri"/>
        <scheme val="minor"/>
      </font>
    </ndxf>
  </rcc>
  <rcc rId="91" sId="16" odxf="1" s="1" dxf="1" numFmtId="34">
    <oc r="D30">
      <v>3317526.0178445163</v>
    </oc>
    <nc r="D30">
      <f>IF(ISERROR(B30*C30),"",B30*C30)</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thin">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92" sId="16" odxf="1" s="1" dxf="1" numFmtId="14">
    <oc r="E30">
      <v>0.34137882337841702</v>
    </oc>
    <nc r="E30">
      <f>IF(ISERROR(D30/D31),"",D30/D31)</f>
    </nc>
    <odxf>
      <font>
        <b val="0"/>
        <i val="0"/>
        <strike val="0"/>
        <condense val="0"/>
        <extend val="0"/>
        <outline val="0"/>
        <shadow val="0"/>
        <u val="none"/>
        <vertAlign val="baseline"/>
        <sz val="10"/>
        <color auto="1"/>
        <name val="Arial"/>
        <scheme val="none"/>
      </font>
      <numFmt numFmtId="14" formatCode="0.00%"/>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dxf>
  </rcc>
  <rfmt sheetId="16" sqref="B31" start="0" length="0">
    <dxf>
      <font>
        <sz val="10"/>
        <color auto="1"/>
        <name val="Arial"/>
        <scheme val="none"/>
      </font>
    </dxf>
  </rfmt>
  <rfmt sheetId="16" s="1" sqref="C31" start="0" length="0">
    <dxf>
      <font>
        <sz val="10"/>
        <color auto="1"/>
        <name val="Arial"/>
        <scheme val="none"/>
      </font>
    </dxf>
  </rfmt>
  <rcc rId="93" sId="16" odxf="1" s="1" dxf="1" numFmtId="34">
    <oc r="D31">
      <v>9718019.3692537639</v>
    </oc>
    <nc r="D31">
      <f>IF(ISERROR(D29+D30),"",D29+D30)</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right style="thin">
          <color indexed="64"/>
        </right>
        <top style="thin">
          <color indexed="64"/>
        </top>
        <bottom style="medium">
          <color indexed="64"/>
        </bottom>
      </border>
      <protection locked="0" hidden="0"/>
    </odxf>
    <ndxf>
      <font>
        <sz val="11"/>
        <color theme="1"/>
        <name val="Calibri"/>
        <scheme val="minor"/>
      </font>
      <numFmt numFmtId="34" formatCode="_(&quot;$&quot;* #,##0.00_);_(&quot;$&quot;* \(#,##0.00\);_(&quot;$&quot;* &quot;-&quot;??_);_(@_)"/>
    </ndxf>
  </rcc>
  <rfmt sheetId="16" sqref="E31" start="0" length="0">
    <dxf>
      <font>
        <sz val="10"/>
        <color auto="1"/>
        <name val="Arial"/>
        <scheme val="none"/>
      </font>
    </dxf>
  </rfmt>
  <rcv guid="{AE01795C-0F1A-4D22-B411-4CB1D681CFC8}" action="delete"/>
  <rcv guid="{AE01795C-0F1A-4D22-B411-4CB1D681CFC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6" odxf="1" s="1" dxf="1" numFmtId="34">
    <oc r="B38">
      <v>6674309.5923518836</v>
    </oc>
    <nc r="B38">
      <f>IF(ISERROR(B$20*E29),"",B$20*E29)</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thin">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95" sId="16">
    <oc r="C38">
      <v>15.27</v>
    </oc>
    <nc r="C38">
      <f>IF(ISERROR(ROUND(B38/B17/12,2)),"",ROUND(B38/B17/12,2))</f>
    </nc>
  </rcc>
  <rcc rId="96" sId="16" odxf="1" s="1" dxf="1" numFmtId="34">
    <oc r="D38">
      <v>6675924.4177608741</v>
    </oc>
    <nc r="D38">
      <f>IF(ISERROR(C38*B17*12),"",C38*B17*12)</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97" sId="16" odxf="1" s="1" dxf="1" numFmtId="34">
    <oc r="B39">
      <v>3459451.4060234716</v>
    </oc>
    <nc r="B39">
      <f>IF(ISERROR(B$20*E30),"",B$20*E30)</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thin">
          <color indexed="64"/>
        </right>
        <top style="thin">
          <color indexed="64"/>
        </top>
        <bottom/>
      </border>
      <protection locked="0" hidden="0"/>
    </odxf>
    <ndxf>
      <font>
        <sz val="11"/>
        <color theme="1"/>
        <name val="Calibri"/>
        <scheme val="minor"/>
      </font>
      <numFmt numFmtId="34" formatCode="_(&quot;$&quot;* #,##0.00_);_(&quot;$&quot;* \(#,##0.00\);_(&quot;$&quot;* &quot;-&quot;??_);_(@_)"/>
    </ndxf>
  </rcc>
  <rcc rId="98" sId="16">
    <oc r="C39">
      <v>1.15E-2</v>
    </oc>
    <nc r="C39">
      <f>IF(ISERROR(ROUND(B39/B18,4)),"",ROUND(B39/B18,4))</f>
    </nc>
  </rcc>
  <rcc rId="99" sId="16" odxf="1" s="1" dxf="1" numFmtId="34">
    <oc r="D39">
      <v>3468322.655019267</v>
    </oc>
    <nc r="D39">
      <f>IF(ISERROR(C39*B18),"",C39*B18)</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100" sId="16" odxf="1" s="1" dxf="1" numFmtId="34">
    <oc r="B40">
      <v>10133760.998375356</v>
    </oc>
    <nc r="B40">
      <f>IF(ISERROR(B38+B39),"",B38+B39)</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thin">
          <color indexed="64"/>
        </right>
        <top style="thin">
          <color indexed="64"/>
        </top>
        <bottom style="medium">
          <color indexed="64"/>
        </bottom>
      </border>
      <protection locked="0" hidden="0"/>
    </odxf>
    <ndxf>
      <font>
        <sz val="11"/>
        <color theme="1"/>
        <name val="Calibri"/>
        <scheme val="minor"/>
      </font>
      <numFmt numFmtId="34" formatCode="_(&quot;$&quot;* #,##0.00_);_(&quot;$&quot;* \(#,##0.00\);_(&quot;$&quot;* &quot;-&quot;??_);_(@_)"/>
    </ndxf>
  </rcc>
  <rcc rId="101" sId="16" odxf="1" s="1" dxf="1" numFmtId="34">
    <oc r="D40">
      <v>10144247.072780142</v>
    </oc>
    <nc r="D40">
      <f>IF(ISERROR(D38+D39),"",D38+D39)</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bottom style="medium">
          <color indexed="64"/>
        </bottom>
      </border>
      <protection locked="0" hidden="0"/>
    </odxf>
    <ndxf>
      <font>
        <sz val="11"/>
        <color theme="1"/>
        <name val="Calibri"/>
        <scheme val="minor"/>
      </font>
      <numFmt numFmtId="34" formatCode="_(&quot;$&quot;* #,##0.00_);_(&quot;$&quot;* \(#,##0.00\);_(&quot;$&quot;* &quot;-&quot;??_);_(@_)"/>
    </ndxf>
  </rcc>
  <rcc rId="102" sId="16" odxf="1" s="1" dxf="1" numFmtId="14">
    <oc r="B43">
      <v>0.77241411774772195</v>
    </oc>
    <nc r="B43">
      <f>IF(ISERROR(((1-E29)/B35)+E29),"",((1-E29)/B35)+E29)</f>
    </nc>
    <odxf>
      <font>
        <b val="0"/>
        <i val="0"/>
        <strike val="0"/>
        <condense val="0"/>
        <extend val="0"/>
        <outline val="0"/>
        <shadow val="0"/>
        <u val="none"/>
        <vertAlign val="baseline"/>
        <sz val="10"/>
        <color auto="1"/>
        <name val="Arial"/>
        <scheme val="none"/>
      </font>
      <numFmt numFmtId="14" formatCode="0.00%"/>
      <border diagonalUp="0" diagonalDown="0" outline="0">
        <left style="thin">
          <color indexed="64"/>
        </left>
        <right style="thin">
          <color indexed="64"/>
        </right>
        <top style="thin">
          <color indexed="64"/>
        </top>
        <bottom style="thin">
          <color indexed="64"/>
        </bottom>
      </border>
      <protection locked="0" hidden="0"/>
    </odxf>
    <ndxf>
      <font>
        <sz val="11"/>
        <color theme="1"/>
        <name val="Calibri"/>
        <scheme val="minor"/>
      </font>
    </ndxf>
  </rcc>
  <rcc rId="103" sId="16" numFmtId="34">
    <oc r="C43">
      <v>7827460.0610263748</v>
    </oc>
    <nc r="C43">
      <f>IF(ISERROR(B43*B$20),"",B43*B$20)</f>
    </nc>
  </rcc>
  <rcc rId="104" sId="16">
    <oc r="D43">
      <v>17.899999999999999</v>
    </oc>
    <nc r="D43">
      <f>IF(ISERROR(ROUND(C43/B17/12,2)),"",ROUND(C43/B17/12,2))</f>
    </nc>
  </rcc>
  <rcc rId="105" sId="16" odxf="1" s="1" dxf="1" numFmtId="34">
    <oc r="E43">
      <v>7825739.8217367157</v>
    </oc>
    <nc r="E43">
      <f>IF(ISERROR(D43*12*B17),"",D43*12*B17)</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106" sId="16" odxf="1" s="1" dxf="1" numFmtId="14">
    <oc r="B44">
      <v>0.22758588225227805</v>
    </oc>
    <nc r="B44">
      <f>IF(ISERROR(1-B43),"",1-B43)</f>
    </nc>
    <odxf>
      <font>
        <b val="0"/>
        <i val="0"/>
        <strike val="0"/>
        <condense val="0"/>
        <extend val="0"/>
        <outline val="0"/>
        <shadow val="0"/>
        <u val="none"/>
        <vertAlign val="baseline"/>
        <sz val="10"/>
        <color auto="1"/>
        <name val="Arial"/>
        <scheme val="none"/>
      </font>
      <numFmt numFmtId="14" formatCode="0.00%"/>
      <border diagonalUp="0" diagonalDown="0" outline="0">
        <left style="thin">
          <color indexed="64"/>
        </left>
        <right style="thin">
          <color indexed="64"/>
        </right>
        <top style="thin">
          <color indexed="64"/>
        </top>
        <bottom/>
      </border>
      <protection locked="0" hidden="0"/>
    </odxf>
    <ndxf>
      <font>
        <sz val="11"/>
        <color theme="1"/>
        <name val="Calibri"/>
        <scheme val="minor"/>
      </font>
    </ndxf>
  </rcc>
  <rcc rId="107" sId="16" numFmtId="34">
    <oc r="C44">
      <v>2306300.9373489814</v>
    </oc>
    <nc r="C44">
      <f>IF(ISERROR(B44*B$20),"",B44*B$20)</f>
    </nc>
  </rcc>
  <rcc rId="108" sId="16">
    <oc r="D44">
      <v>7.6E-3</v>
    </oc>
    <nc r="D44">
      <f>IF(ISERROR(ROUND(C44/B18,4)),"",ROUND(C44/B18,4))</f>
    </nc>
  </rcc>
  <rcc rId="109" sId="16" odxf="1" s="1" dxf="1" numFmtId="34">
    <oc r="E44">
      <v>2292108.8850562111</v>
    </oc>
    <nc r="E44">
      <f>IF(ISERROR(D44*B18),"",D44*B18)</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border>
      <protection locked="0" hidden="0"/>
    </odxf>
    <ndxf>
      <font>
        <sz val="11"/>
        <color theme="1"/>
        <name val="Calibri"/>
        <scheme val="minor"/>
      </font>
      <numFmt numFmtId="34" formatCode="_(&quot;$&quot;* #,##0.00_);_(&quot;$&quot;* \(#,##0.00\);_(&quot;$&quot;* &quot;-&quot;??_);_(@_)"/>
    </ndxf>
  </rcc>
  <rcc rId="110" sId="16" odxf="1" s="1" dxf="1" numFmtId="34">
    <oc r="C45">
      <v>10133760.998375356</v>
    </oc>
    <nc r="C45">
      <f>IF(ISERROR(SUM(C43:C44)),"",SUM(C43:C44))</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right style="thin">
          <color indexed="64"/>
        </right>
        <top style="thin">
          <color indexed="64"/>
        </top>
        <bottom style="medium">
          <color indexed="64"/>
        </bottom>
      </border>
      <protection locked="0" hidden="0"/>
    </odxf>
    <ndxf>
      <font>
        <sz val="11"/>
        <color theme="1"/>
        <name val="Calibri"/>
        <scheme val="minor"/>
      </font>
      <numFmt numFmtId="34" formatCode="_(&quot;$&quot;* #,##0.00_);_(&quot;$&quot;* \(#,##0.00\);_(&quot;$&quot;* &quot;-&quot;??_);_(@_)"/>
    </ndxf>
  </rcc>
  <rcc rId="111" sId="16" odxf="1" s="1" dxf="1" numFmtId="34">
    <oc r="E45">
      <v>10117848.706792926</v>
    </oc>
    <nc r="E45">
      <f>IF(ISERROR(E43+E44),"",E43+E44)</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style="medium">
          <color indexed="64"/>
        </bottom>
      </border>
      <protection locked="0" hidden="0"/>
    </odxf>
    <ndxf>
      <font>
        <sz val="11"/>
        <color theme="1"/>
        <name val="Calibri"/>
        <scheme val="minor"/>
      </font>
      <numFmt numFmtId="34" formatCode="_(&quot;$&quot;* #,##0.00_);_(&quot;$&quot;* \(#,##0.00\);_(&quot;$&quot;* &quot;-&quot;??_);_(@_)"/>
    </ndxf>
  </rcc>
  <rcc rId="112" sId="16" odxf="1" s="1" dxf="1" numFmtId="34">
    <oc r="B48">
      <v>2.629999999999999</v>
    </oc>
    <nc r="B48">
      <f>IF(ISERROR(D43-C38),"",D43-C38)</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style="thin">
          <color indexed="64"/>
        </bottom>
      </border>
      <protection locked="0" hidden="0"/>
    </odxf>
    <ndxf>
      <font>
        <sz val="11"/>
        <color theme="1"/>
        <name val="Calibri"/>
        <scheme val="minor"/>
      </font>
      <numFmt numFmtId="34" formatCode="_(&quot;$&quot;* #,##0.00_);_(&quot;$&quot;* \(#,##0.00\);_(&quot;$&quot;* &quot;-&quot;??_);_(@_)"/>
    </ndxf>
  </rcc>
  <rcc rId="113" sId="16" odxf="1" s="1" dxf="1" numFmtId="34">
    <oc r="B49">
      <v>-15912.291582429782</v>
    </oc>
    <nc r="B49">
      <f>IF(ISERROR((D43*12*B17)+(D44*B18)-B20),"",(D43*12*B17)+(D44*B18)-B20)</f>
    </nc>
    <odxf>
      <font>
        <b val="0"/>
        <i val="0"/>
        <strike val="0"/>
        <condense val="0"/>
        <extend val="0"/>
        <outline val="0"/>
        <shadow val="0"/>
        <u val="none"/>
        <vertAlign val="baseline"/>
        <sz val="10"/>
        <color auto="1"/>
        <name val="Arial"/>
        <scheme val="none"/>
      </font>
      <numFmt numFmtId="166" formatCode="_-&quot;$&quot;* #,##0.00_-;\-&quot;$&quot;* #,##0.00_-;_-&quot;$&quot;* &quot;-&quot;??_-;_-@_-"/>
      <border diagonalUp="0" diagonalDown="0" outline="0">
        <left style="thin">
          <color indexed="64"/>
        </left>
        <right style="medium">
          <color indexed="64"/>
        </right>
        <top style="thin">
          <color indexed="64"/>
        </top>
        <bottom/>
      </border>
      <protection locked="0" hidden="0"/>
    </odxf>
    <ndxf>
      <font>
        <sz val="11"/>
        <color theme="1"/>
        <name val="Calibri"/>
        <scheme val="minor"/>
      </font>
      <numFmt numFmtId="34" formatCode="_(&quot;$&quot;* #,##0.00_);_(&quot;$&quot;* \(#,##0.00\);_(&quot;$&quot;* &quot;-&quot;??_);_(@_)"/>
    </ndxf>
  </rcc>
  <rcc rId="114" sId="16" odxf="1" s="1" dxf="1" numFmtId="14">
    <oc r="B50">
      <v>-1.5702256630071342E-3</v>
    </oc>
    <nc r="B50">
      <f>IF(ISERROR(B49/B20), "", B49/B20)</f>
    </nc>
    <odxf>
      <font>
        <b val="0"/>
        <i val="0"/>
        <strike val="0"/>
        <condense val="0"/>
        <extend val="0"/>
        <outline val="0"/>
        <shadow val="0"/>
        <u val="none"/>
        <vertAlign val="baseline"/>
        <sz val="10"/>
        <color auto="1"/>
        <name val="Arial"/>
        <scheme val="none"/>
      </font>
      <numFmt numFmtId="14" formatCode="0.00%"/>
      <border diagonalUp="0" diagonalDown="0" outline="0">
        <left style="thin">
          <color indexed="64"/>
        </left>
        <right style="medium">
          <color indexed="64"/>
        </right>
        <top style="thin">
          <color indexed="64"/>
        </top>
        <bottom style="medium">
          <color indexed="64"/>
        </bottom>
      </border>
      <protection locked="0" hidden="0"/>
    </odxf>
    <ndxf>
      <font>
        <sz val="11"/>
        <color theme="1"/>
        <name val="Calibri"/>
        <scheme val="minor"/>
      </font>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 sId="19" odxf="1" s="1" dxf="1" numFmtId="34">
    <oc r="C15">
      <v>36432.680734342255</v>
    </oc>
    <nc r="C15">
      <f>'R:\2017 Cost of Service\Settlement Proposal\[2016 01 19 Rate Design Model_FINAL - Settlement Proposal.xlsx]Forecast Data For 2017'!$C$5</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16" sId="19" odxf="1" s="1" dxf="1" numFmtId="34">
    <oc r="D15">
      <v>36432.680734342255</v>
    </oc>
    <nc r="D15">
      <f>C15</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17" sId="19" odxf="1" s="1" dxf="1" numFmtId="34">
    <oc r="E15">
      <v>36432.680734342255</v>
    </oc>
    <nc r="E15">
      <f>IF(SUM(C15:D15)=0,0,AVERAGE(C15:D15))</f>
    </nc>
    <odxf>
      <numFmt numFmtId="170" formatCode="_-* #,##0_-;\-* #,##0_-;_-* &quot;-&quot;??_-;_-@_-"/>
      <border diagonalUp="0" diagonalDown="0" outline="0">
        <left style="medium">
          <color indexed="64"/>
        </left>
        <right style="medium">
          <color indexed="64"/>
        </right>
        <top/>
        <bottom/>
      </border>
      <protection locked="0" hidden="0"/>
    </odxf>
    <ndxf/>
  </rcc>
  <rcc rId="118" sId="19" odxf="1" s="1" dxf="1" numFmtId="34">
    <oc r="F15">
      <v>301593274.34950149</v>
    </oc>
    <nc r="F15">
      <f>'R:\2017 Cost of Service\Settlement Proposal\[2016 01 19 Rate Design Model_FINAL - Settlement Proposal.xlsx]Forecast Data For 2017'!$C$6</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G15" start="0" length="0">
    <dxf/>
  </rfmt>
  <rcc rId="119" sId="19" odxf="1" s="1" dxf="1" numFmtId="34">
    <oc r="H15">
      <v>17.899999999999999</v>
    </oc>
    <nc r="H15">
      <f>'R:\2017 Cost of Service\Settlement Proposal\[2016 01 19 Rate Design Model_FINAL - Settlement Proposal.xlsx]Distribution Rate Schedule'!$C$9</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20" sId="19" odxf="1" s="1" dxf="1" numFmtId="34">
    <oc r="I15">
      <v>7.7000000000000002E-3</v>
    </oc>
    <nc r="I15">
      <f>'R:\2017 Cost of Service\Settlement Proposal\[2016 01 19 Rate Design Model_FINAL - Settlement Proposal.xlsx]Distribution Rate Schedule'!$E$9</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J15" start="0" length="0">
    <dxf/>
  </rfmt>
  <rcc rId="121" sId="19" odxf="1" s="1" dxf="1" numFmtId="34">
    <oc r="K15">
      <v>10148008.034227878</v>
    </oc>
    <nc r="K15">
      <f>H15*E15*12+I15*F15+J15*G15</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15" start="0" length="0">
    <dxf>
      <font>
        <sz val="11"/>
        <color theme="1"/>
        <name val="Calibri"/>
        <scheme val="minor"/>
      </font>
    </dxf>
  </rfmt>
  <rcc rId="122" sId="19" odxf="1" s="1" dxf="1" numFmtId="34">
    <oc r="M15">
      <v>10133760.998375356</v>
    </oc>
    <nc r="M15">
      <f>'R:\2017 Cost of Service\Settlement Proposal\[2016 01 19 Rate Design Model_FINAL - Settlement Proposal.xlsx]Cost Allocation Study'!$K$5</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N15" start="0" length="0">
    <dxf/>
  </rfmt>
  <rcc rId="123" sId="19" odxf="1" s="1" dxf="1" numFmtId="34">
    <oc r="O15">
      <v>10133760.998375356</v>
    </oc>
    <nc r="O15">
      <f>SUM(M15:N15)</f>
    </nc>
    <odxf>
      <numFmt numFmtId="169" formatCode="_-&quot;$&quot;* #,##0_-;\-&quot;$&quot;* #,##0_-;_-&quot;$&quot;* &quot;-&quot;??_-;_-@_-"/>
      <border diagonalUp="0" diagonalDown="0" outline="0">
        <left style="medium">
          <color indexed="64"/>
        </left>
        <right style="medium">
          <color indexed="64"/>
        </right>
        <top/>
        <bottom/>
      </border>
      <protection locked="0" hidden="0"/>
    </odxf>
    <ndxf/>
  </rcc>
  <rcc rId="124" sId="19" odxf="1" s="1" dxf="1" numFmtId="34">
    <oc r="P15">
      <v>-14247.035852521658</v>
    </oc>
    <nc r="P15">
      <f>O15-K15</f>
    </nc>
    <odxf>
      <numFmt numFmtId="169" formatCode="_-&quot;$&quot;* #,##0_-;\-&quot;$&quot;* #,##0_-;_-&quot;$&quot;* &quot;-&quot;??_-;_-@_-"/>
      <border diagonalUp="0" diagonalDown="0" outline="0">
        <left/>
        <right style="medium">
          <color indexed="64"/>
        </right>
        <top/>
        <bottom/>
      </border>
      <protection locked="0" hidden="0"/>
    </odxf>
    <ndxf/>
  </rcc>
  <rcc rId="125" sId="19" odxf="1" s="1" dxf="1" numFmtId="34">
    <oc r="C16">
      <v>2839.8399223469046</v>
    </oc>
    <nc r="C16">
      <f>'R:\2017 Cost of Service\Settlement Proposal\[2016 01 19 Rate Design Model_FINAL - Settlement Proposal.xlsx]Forecast Data For 2017'!$C$7</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26" sId="19" odxf="1" s="1" dxf="1" numFmtId="34">
    <oc r="D16">
      <v>2839.8399223469046</v>
    </oc>
    <nc r="D16">
      <f>C16</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27" sId="19" odxf="1" s="1" dxf="1" numFmtId="34">
    <oc r="E16">
      <v>2839.8399223469046</v>
    </oc>
    <nc r="E16">
      <f>IF(SUM(C16:D16)=0,0,AVERAGE(C16:D16))</f>
    </nc>
    <odxf>
      <numFmt numFmtId="170" formatCode="_-* #,##0_-;\-* #,##0_-;_-* &quot;-&quot;??_-;_-@_-"/>
      <border diagonalUp="0" diagonalDown="0" outline="0">
        <left style="medium">
          <color indexed="64"/>
        </left>
        <right style="medium">
          <color indexed="64"/>
        </right>
        <top/>
        <bottom/>
      </border>
      <protection locked="0" hidden="0"/>
    </odxf>
    <ndxf/>
  </rcc>
  <rcc rId="128" sId="19" odxf="1" s="1" dxf="1" numFmtId="34">
    <oc r="F16">
      <v>103442406.59496056</v>
    </oc>
    <nc r="F16">
      <f>'R:\2017 Cost of Service\Settlement Proposal\[2016 01 19 Rate Design Model_FINAL - Settlement Proposal.xlsx]Forecast Data For 2017'!$C$8</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G16" start="0" length="0">
    <dxf/>
  </rfmt>
  <rcc rId="129" sId="19" odxf="1" s="1" dxf="1" numFmtId="34">
    <oc r="H16">
      <v>30.33</v>
    </oc>
    <nc r="H16">
      <f>'R:\2017 Cost of Service\Settlement Proposal\[2016 01 19 Rate Design Model_FINAL - Settlement Proposal.xlsx]Distribution Rate Schedule'!$C$10</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30" sId="19" odxf="1" s="1" dxf="1" numFmtId="34">
    <oc r="I16">
      <v>7.9000000000000008E-3</v>
    </oc>
    <nc r="I16">
      <f>'R:\2017 Cost of Service\Settlement Proposal\[2016 01 19 Rate Design Model_FINAL - Settlement Proposal.xlsx]Distribution Rate Schedule'!$E$10</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J16" start="0" length="0">
    <dxf/>
  </rfmt>
  <rcc rId="131" sId="19" odxf="1" s="1" dxf="1" numFmtId="34">
    <oc r="K16">
      <v>1850783.1502375677</v>
    </oc>
    <nc r="K16">
      <f>H16*E16*12+I16*F16+J16*G16</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16" start="0" length="0">
    <dxf>
      <font>
        <sz val="11"/>
        <color theme="1"/>
        <name val="Calibri"/>
        <scheme val="minor"/>
      </font>
    </dxf>
  </rfmt>
  <rcc rId="132" sId="19" odxf="1" s="1" dxf="1" numFmtId="34">
    <oc r="M16">
      <v>1850970.8919088827</v>
    </oc>
    <nc r="M16">
      <f>'R:\2017 Cost of Service\Settlement Proposal\[2016 01 19 Rate Design Model_FINAL - Settlement Proposal.xlsx]Cost Allocation Study'!$K$6</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33" sId="19" odxf="1" s="1" dxf="1" numFmtId="34">
    <oc r="N16">
      <v>541.48799999999994</v>
    </oc>
    <nc r="N16">
      <f>-'R:\2017 Cost of Service\Settlement Proposal\[2016 01 19 Rate Design Model_FINAL - Settlement Proposal.xlsx]Transformer Allowance'!$C$14</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34" sId="19" odxf="1" s="1" dxf="1" numFmtId="34">
    <oc r="O16">
      <v>1851512.3799088825</v>
    </oc>
    <nc r="O16">
      <f>SUM(M16:N16)</f>
    </nc>
    <odxf>
      <numFmt numFmtId="169" formatCode="_-&quot;$&quot;* #,##0_-;\-&quot;$&quot;* #,##0_-;_-&quot;$&quot;* &quot;-&quot;??_-;_-@_-"/>
      <border diagonalUp="0" diagonalDown="0" outline="0">
        <left style="medium">
          <color indexed="64"/>
        </left>
        <right style="medium">
          <color indexed="64"/>
        </right>
        <top/>
        <bottom/>
      </border>
      <protection locked="0" hidden="0"/>
    </odxf>
    <ndxf/>
  </rcc>
  <rcc rId="135" sId="19" odxf="1" s="1" dxf="1" numFmtId="34">
    <oc r="P16">
      <v>729.22967131482437</v>
    </oc>
    <nc r="P16">
      <f>O16-K16</f>
    </nc>
    <odxf>
      <numFmt numFmtId="169" formatCode="_-&quot;$&quot;* #,##0_-;\-&quot;$&quot;* #,##0_-;_-&quot;$&quot;* &quot;-&quot;??_-;_-@_-"/>
      <border diagonalUp="0" diagonalDown="0" outline="0">
        <left/>
        <right style="medium">
          <color indexed="64"/>
        </right>
        <top/>
        <bottom/>
      </border>
      <protection locked="0" hidden="0"/>
    </odxf>
    <ndxf/>
  </rcc>
  <rcc rId="136" sId="19" odxf="1" s="1" dxf="1" numFmtId="34">
    <oc r="C17">
      <v>448.67239043007072</v>
    </oc>
    <nc r="C17">
      <f>'R:\2017 Cost of Service\Settlement Proposal\[2016 01 19 Rate Design Model_FINAL - Settlement Proposal.xlsx]Forecast Data For 2017'!$C$9</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37" sId="19" odxf="1" s="1" dxf="1" numFmtId="34">
    <oc r="D17">
      <v>448.67239043007072</v>
    </oc>
    <nc r="D17">
      <f>C17</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38" sId="19" odxf="1" s="1" dxf="1" numFmtId="34">
    <oc r="E17">
      <v>448.67239043007072</v>
    </oc>
    <nc r="E17">
      <f>IF(SUM(C17:D17)=0,0,AVERAGE(C17:D17))</f>
    </nc>
    <odxf>
      <numFmt numFmtId="170" formatCode="_-* #,##0_-;\-* #,##0_-;_-* &quot;-&quot;??_-;_-@_-"/>
      <border diagonalUp="0" diagonalDown="0" outline="0">
        <left style="medium">
          <color indexed="64"/>
        </left>
        <right style="medium">
          <color indexed="64"/>
        </right>
        <top/>
        <bottom/>
      </border>
      <protection locked="0" hidden="0"/>
    </odxf>
    <ndxf/>
  </rcc>
  <rfmt sheetId="19" s="1" sqref="F17" start="0" length="0">
    <dxf/>
  </rfmt>
  <rcc rId="139" sId="19" odxf="1" s="1" dxf="1" numFmtId="34">
    <oc r="G17">
      <v>1342820.9132025344</v>
    </oc>
    <nc r="G17">
      <f>'R:\2017 Cost of Service\Settlement Proposal\[2016 01 19 Rate Design Model_FINAL - Settlement Proposal.xlsx]Forecast Data For 2017'!$C$10</f>
    </nc>
    <odxf>
      <numFmt numFmtId="170" formatCode="_-* #,##0_-;\-* #,##0_-;_-* &quot;-&quot;??_-;_-@_-"/>
      <fill>
        <patternFill patternType="solid">
          <fgColor indexed="64"/>
          <bgColor theme="6" tint="0.79998168889431442"/>
        </patternFill>
      </fill>
      <border diagonalUp="0" diagonalDown="0" outline="0">
        <left/>
        <right style="medium">
          <color indexed="64"/>
        </right>
        <top/>
        <bottom/>
      </border>
      <protection locked="0" hidden="0"/>
    </odxf>
    <ndxf/>
  </rcc>
  <rcc rId="140" sId="19" odxf="1" s="1" dxf="1" numFmtId="34">
    <oc r="H17">
      <v>232.03</v>
    </oc>
    <nc r="H17">
      <f>'R:\2017 Cost of Service\Settlement Proposal\[2016 01 19 Rate Design Model_FINAL - Settlement Proposal.xlsx]Distribution Rate Schedule'!$C$11</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I17" start="0" length="0">
    <dxf/>
  </rfmt>
  <rcc rId="141" sId="19" odxf="1" s="1" dxf="1" numFmtId="34">
    <oc r="J17">
      <v>2.8650000000000002</v>
    </oc>
    <nc r="J17">
      <f>'R:\2017 Cost of Service\Settlement Proposal\[2016 01 19 Rate Design Model_FINAL - Settlement Proposal.xlsx]Distribution Rate Schedule'!$D$11</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42" sId="19" odxf="1" s="1" dxf="1" numFmtId="34">
    <oc r="K17">
      <v>5096447.3733431324</v>
    </oc>
    <nc r="K17">
      <f>H17*E17*12+I17*F17+J17*G17</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17" start="0" length="0">
    <dxf>
      <font>
        <sz val="11"/>
        <color theme="1"/>
        <name val="Calibri"/>
        <scheme val="minor"/>
      </font>
    </dxf>
  </rfmt>
  <rcc rId="143" sId="19" odxf="1" s="1" dxf="1" numFmtId="34">
    <oc r="M17">
      <v>4701606.2406967031</v>
    </oc>
    <nc r="M17">
      <f>'R:\2017 Cost of Service\Settlement Proposal\[2016 01 19 Rate Design Model_FINAL - Settlement Proposal.xlsx]Cost Allocation Study'!$K$7</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44" sId="19" odxf="1" s="1" dxf="1" numFmtId="34">
    <oc r="N17">
      <v>394789.34848154511</v>
    </oc>
    <nc r="N17">
      <f>-'R:\2017 Cost of Service\Settlement Proposal\[2016 01 19 Rate Design Model_FINAL - Settlement Proposal.xlsx]Transformer Allowance'!$C$11</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45" sId="19" odxf="1" s="1" dxf="1" numFmtId="34">
    <oc r="O17">
      <v>5096395.5891782483</v>
    </oc>
    <nc r="O17">
      <f>SUM(M17:N17)</f>
    </nc>
    <odxf>
      <numFmt numFmtId="169" formatCode="_-&quot;$&quot;* #,##0_-;\-&quot;$&quot;* #,##0_-;_-&quot;$&quot;* &quot;-&quot;??_-;_-@_-"/>
      <border diagonalUp="0" diagonalDown="0" outline="0">
        <left style="medium">
          <color indexed="64"/>
        </left>
        <right style="medium">
          <color indexed="64"/>
        </right>
        <top/>
        <bottom/>
      </border>
      <protection locked="0" hidden="0"/>
    </odxf>
    <ndxf/>
  </rcc>
  <rcc rId="146" sId="19" odxf="1" s="1" dxf="1" numFmtId="34">
    <oc r="P17">
      <v>-51.784164884127676</v>
    </oc>
    <nc r="P17">
      <f>O17-K17</f>
    </nc>
    <odxf>
      <numFmt numFmtId="169" formatCode="_-&quot;$&quot;* #,##0_-;\-&quot;$&quot;* #,##0_-;_-&quot;$&quot;* &quot;-&quot;??_-;_-@_-"/>
      <border diagonalUp="0" diagonalDown="0" outline="0">
        <left/>
        <right style="medium">
          <color indexed="64"/>
        </right>
        <top/>
        <bottom/>
      </border>
      <protection locked="0" hidden="0"/>
    </odxf>
    <ndxf/>
  </rcc>
  <rfmt sheetId="19" s="1" sqref="C18" start="0" length="0">
    <dxf/>
  </rfmt>
  <rfmt sheetId="19" s="1" sqref="D18" start="0" length="0">
    <dxf/>
  </rfmt>
  <rcc rId="147" sId="19" odxf="1" s="1" dxf="1" numFmtId="34">
    <oc r="E18">
      <v>0</v>
    </oc>
    <nc r="E18">
      <f>IF(SUM(C18:D18)=0,0,AVERAGE(C18:D18))</f>
    </nc>
    <odxf>
      <numFmt numFmtId="170" formatCode="_-* #,##0_-;\-* #,##0_-;_-* &quot;-&quot;??_-;_-@_-"/>
      <border diagonalUp="0" diagonalDown="0" outline="0">
        <left style="medium">
          <color indexed="64"/>
        </left>
        <right style="medium">
          <color indexed="64"/>
        </right>
        <top/>
        <bottom/>
      </border>
      <protection locked="0" hidden="0"/>
    </odxf>
    <ndxf/>
  </rcc>
  <rfmt sheetId="19" s="1" sqref="F18" start="0" length="0">
    <dxf/>
  </rfmt>
  <rfmt sheetId="19" s="1" sqref="G18" start="0" length="0">
    <dxf/>
  </rfmt>
  <rfmt sheetId="19" s="1" sqref="H18" start="0" length="0">
    <dxf/>
  </rfmt>
  <rfmt sheetId="19" s="1" sqref="I18" start="0" length="0">
    <dxf/>
  </rfmt>
  <rfmt sheetId="19" s="1" sqref="J18" start="0" length="0">
    <dxf/>
  </rfmt>
  <rcc rId="148" sId="19" odxf="1" s="1" dxf="1" numFmtId="34">
    <oc r="K18">
      <v>0</v>
    </oc>
    <nc r="K18">
      <f>H18*E18*12+I18*F18+J18*G18</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18" start="0" length="0">
    <dxf>
      <font>
        <sz val="11"/>
        <color theme="1"/>
        <name val="Calibri"/>
        <scheme val="minor"/>
      </font>
    </dxf>
  </rfmt>
  <rfmt sheetId="19" s="1" sqref="M18" start="0" length="0">
    <dxf/>
  </rfmt>
  <rfmt sheetId="19" s="1" sqref="N18" start="0" length="0">
    <dxf/>
  </rfmt>
  <rcc rId="149" sId="19" odxf="1" s="1" dxf="1" numFmtId="34">
    <oc r="O18">
      <v>0</v>
    </oc>
    <nc r="O18">
      <f>SUM(M18:N18)</f>
    </nc>
    <odxf>
      <numFmt numFmtId="169" formatCode="_-&quot;$&quot;* #,##0_-;\-&quot;$&quot;* #,##0_-;_-&quot;$&quot;* &quot;-&quot;??_-;_-@_-"/>
      <border diagonalUp="0" diagonalDown="0" outline="0">
        <left style="medium">
          <color indexed="64"/>
        </left>
        <right style="medium">
          <color indexed="64"/>
        </right>
        <top/>
        <bottom/>
      </border>
      <protection locked="0" hidden="0"/>
    </odxf>
    <ndxf/>
  </rcc>
  <rcc rId="150" sId="19" odxf="1" s="1" dxf="1" numFmtId="34">
    <oc r="P18">
      <v>0</v>
    </oc>
    <nc r="P18">
      <f>O18-K18</f>
    </nc>
    <odxf>
      <numFmt numFmtId="169" formatCode="_-&quot;$&quot;* #,##0_-;\-&quot;$&quot;* #,##0_-;_-&quot;$&quot;* &quot;-&quot;??_-;_-@_-"/>
      <border diagonalUp="0" diagonalDown="0" outline="0">
        <left/>
        <right style="medium">
          <color indexed="64"/>
        </right>
        <top/>
        <bottom/>
      </border>
      <protection locked="0" hidden="0"/>
    </odxf>
    <ndxf/>
  </rcc>
  <rcc rId="151" sId="19" odxf="1" s="1" dxf="1" numFmtId="34">
    <oc r="C19">
      <v>5848.7835619252273</v>
    </oc>
    <nc r="C19">
      <f>'R:\2017 Cost of Service\Settlement Proposal\[2016 01 19 Rate Design Model_FINAL - Settlement Proposal.xlsx]Forecast Data For 2017'!$C$12</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52" sId="19" odxf="1" s="1" dxf="1" numFmtId="34">
    <oc r="D19">
      <v>5848.7835619252273</v>
    </oc>
    <nc r="D19">
      <f>C19</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53" sId="19" odxf="1" s="1" dxf="1" numFmtId="34">
    <oc r="E19">
      <v>5848.7835619252273</v>
    </oc>
    <nc r="E19">
      <f>IF(SUM(C19:D19)=0,0,AVERAGE(C19:D19))</f>
    </nc>
    <odxf>
      <numFmt numFmtId="170" formatCode="_-* #,##0_-;\-* #,##0_-;_-* &quot;-&quot;??_-;_-@_-"/>
      <border diagonalUp="0" diagonalDown="0" outline="0">
        <left style="medium">
          <color indexed="64"/>
        </left>
        <right style="medium">
          <color indexed="64"/>
        </right>
        <top/>
        <bottom/>
      </border>
      <protection locked="0" hidden="0"/>
    </odxf>
    <ndxf/>
  </rcc>
  <rfmt sheetId="19" s="1" sqref="F19" start="0" length="0">
    <dxf/>
  </rfmt>
  <rcc rId="154" sId="19" odxf="1" s="1" dxf="1" numFmtId="34">
    <oc r="G19">
      <v>22796.276919161843</v>
    </oc>
    <nc r="G19">
      <f>'R:\2017 Cost of Service\Settlement Proposal\[2016 01 19 Rate Design Model_FINAL - Settlement Proposal.xlsx]Forecast Data For 2017'!$C$13</f>
    </nc>
    <odxf>
      <numFmt numFmtId="170" formatCode="_-* #,##0_-;\-* #,##0_-;_-* &quot;-&quot;??_-;_-@_-"/>
      <fill>
        <patternFill patternType="solid">
          <fgColor indexed="64"/>
          <bgColor theme="6" tint="0.79998168889431442"/>
        </patternFill>
      </fill>
      <border diagonalUp="0" diagonalDown="0" outline="0">
        <left/>
        <right style="medium">
          <color indexed="64"/>
        </right>
        <top/>
        <bottom/>
      </border>
      <protection locked="0" hidden="0"/>
    </odxf>
    <ndxf/>
  </rcc>
  <rcc rId="155" sId="19" odxf="1" s="1" dxf="1" numFmtId="34">
    <oc r="H19">
      <v>1.43</v>
    </oc>
    <nc r="H19">
      <f>'R:\2017 Cost of Service\Settlement Proposal\[2016 01 19 Rate Design Model_FINAL - Settlement Proposal.xlsx]Distribution Rate Schedule'!$B$12</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I19" start="0" length="0">
    <dxf/>
  </rfmt>
  <rcc rId="156" sId="19" odxf="1" s="1" dxf="1" numFmtId="34">
    <oc r="J19">
      <v>6.0018000000000002</v>
    </oc>
    <nc r="J19">
      <f>'R:\2017 Cost of Service\Settlement Proposal\[2016 01 19 Rate Design Model_FINAL - Settlement Proposal.xlsx]Distribution Rate Schedule'!$D$12</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57" sId="19" odxf="1" s="1" dxf="1" numFmtId="34">
    <oc r="K19">
      <v>237183.82073606245</v>
    </oc>
    <nc r="K19">
      <f>H19*E19*12+I19*F19+J19*G19</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19" start="0" length="0">
    <dxf>
      <font>
        <sz val="11"/>
        <color theme="1"/>
        <name val="Calibri"/>
        <scheme val="minor"/>
      </font>
    </dxf>
  </rfmt>
  <rcc rId="158" sId="19" odxf="1" s="1" dxf="1" numFmtId="34">
    <oc r="M19">
      <v>237471.94009817688</v>
    </oc>
    <nc r="M19">
      <f>'R:\2017 Cost of Service\Settlement Proposal\[2016 01 19 Rate Design Model_FINAL - Settlement Proposal.xlsx]Cost Allocation Study'!$K$8</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N19" start="0" length="0">
    <dxf/>
  </rfmt>
  <rcc rId="159" sId="19" odxf="1" s="1" dxf="1" numFmtId="34">
    <oc r="O19">
      <v>237471.94009817688</v>
    </oc>
    <nc r="O19">
      <f>SUM(M19:N19)</f>
    </nc>
    <odxf>
      <numFmt numFmtId="169" formatCode="_-&quot;$&quot;* #,##0_-;\-&quot;$&quot;* #,##0_-;_-&quot;$&quot;* &quot;-&quot;??_-;_-@_-"/>
      <border diagonalUp="0" diagonalDown="0" outline="0">
        <left style="medium">
          <color indexed="64"/>
        </left>
        <right style="medium">
          <color indexed="64"/>
        </right>
        <top/>
        <bottom/>
      </border>
      <protection locked="0" hidden="0"/>
    </odxf>
    <ndxf/>
  </rcc>
  <rcc rId="160" sId="19" odxf="1" s="1" dxf="1" numFmtId="34">
    <oc r="P19">
      <v>288.1193621144339</v>
    </oc>
    <nc r="P19">
      <f>O19-K19</f>
    </nc>
    <odxf>
      <numFmt numFmtId="169" formatCode="_-&quot;$&quot;* #,##0_-;\-&quot;$&quot;* #,##0_-;_-&quot;$&quot;* &quot;-&quot;??_-;_-@_-"/>
      <border diagonalUp="0" diagonalDown="0" outline="0">
        <left/>
        <right style="medium">
          <color indexed="64"/>
        </right>
        <top/>
        <bottom/>
      </border>
      <protection locked="0" hidden="0"/>
    </odxf>
    <ndxf/>
  </rcc>
  <rcc rId="161" sId="19" odxf="1" s="1" dxf="1" numFmtId="34">
    <oc r="C20">
      <v>597.17737195173459</v>
    </oc>
    <nc r="C20">
      <f>'R:\2017 Cost of Service\Settlement Proposal\[2016 01 19 Rate Design Model_FINAL - Settlement Proposal.xlsx]Forecast Data For 2017'!$C$18</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62" sId="19" odxf="1" s="1" dxf="1" numFmtId="34">
    <oc r="D20">
      <v>597.17737195173459</v>
    </oc>
    <nc r="D20">
      <f>C20</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63" sId="19" odxf="1" s="1" dxf="1" numFmtId="34">
    <oc r="E20">
      <v>597.17737195173459</v>
    </oc>
    <nc r="E20">
      <f>IF(SUM(C20:D20)=0,0,AVERAGE(C20:D20))</f>
    </nc>
    <odxf>
      <numFmt numFmtId="170" formatCode="_-* #,##0_-;\-* #,##0_-;_-* &quot;-&quot;??_-;_-@_-"/>
      <border diagonalUp="0" diagonalDown="0" outline="0">
        <left style="medium">
          <color indexed="64"/>
        </left>
        <right style="medium">
          <color indexed="64"/>
        </right>
        <top/>
        <bottom/>
      </border>
      <protection locked="0" hidden="0"/>
    </odxf>
    <ndxf/>
  </rcc>
  <rfmt sheetId="19" s="1" sqref="F20" start="0" length="0">
    <dxf/>
  </rfmt>
  <rcc rId="164" sId="19" odxf="1" s="1" dxf="1" numFmtId="34">
    <oc r="G20">
      <v>1155.3902232238072</v>
    </oc>
    <nc r="G20">
      <f>'R:\2017 Cost of Service\Settlement Proposal\[2016 01 19 Rate Design Model_FINAL - Settlement Proposal.xlsx]Forecast Data For 2017'!$C$19</f>
    </nc>
    <odxf>
      <numFmt numFmtId="170" formatCode="_-* #,##0_-;\-* #,##0_-;_-* &quot;-&quot;??_-;_-@_-"/>
      <fill>
        <patternFill patternType="solid">
          <fgColor indexed="64"/>
          <bgColor theme="6" tint="0.79998168889431442"/>
        </patternFill>
      </fill>
      <border diagonalUp="0" diagonalDown="0" outline="0">
        <left/>
        <right style="medium">
          <color indexed="64"/>
        </right>
        <top/>
        <bottom/>
      </border>
      <protection locked="0" hidden="0"/>
    </odxf>
    <ndxf/>
  </rcc>
  <rcc rId="165" sId="19" odxf="1" s="1" dxf="1" numFmtId="34">
    <oc r="H20">
      <v>4.22</v>
    </oc>
    <nc r="H20">
      <f>'R:\2017 Cost of Service\Settlement Proposal\[2016 01 19 Rate Design Model_FINAL - Settlement Proposal.xlsx]Distribution Rate Schedule'!$B$16</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I20" start="0" length="0">
    <dxf/>
  </rfmt>
  <rcc rId="166" sId="19" odxf="1" s="1" dxf="1" numFmtId="34">
    <oc r="J20">
      <v>20.237500000000001</v>
    </oc>
    <nc r="J20">
      <f>'R:\2017 Cost of Service\Settlement Proposal\[2016 01 19 Rate Design Model_FINAL - Settlement Proposal.xlsx]Distribution Rate Schedule'!$D$16</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67" sId="19" odxf="1" s="1" dxf="1" numFmtId="34">
    <oc r="K20">
      <v>53623.271758127637</v>
    </oc>
    <nc r="K20">
      <f>H20*E20*12+I20*F20+J20*G20</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0" start="0" length="0">
    <dxf>
      <font>
        <sz val="11"/>
        <color theme="1"/>
        <name val="Calibri"/>
        <scheme val="minor"/>
      </font>
    </dxf>
  </rfmt>
  <rcc rId="168" sId="19" odxf="1" s="1" dxf="1" numFmtId="34">
    <oc r="M20">
      <v>53631.893052780353</v>
    </oc>
    <nc r="M20">
      <f>'R:\2017 Cost of Service\Settlement Proposal\[2016 01 19 Rate Design Model_FINAL - Settlement Proposal.xlsx]Cost Allocation Study'!$K$10</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N20" start="0" length="0">
    <dxf/>
  </rfmt>
  <rcc rId="169" sId="19" odxf="1" s="1" dxf="1" numFmtId="34">
    <oc r="O20">
      <v>53631.893052780353</v>
    </oc>
    <nc r="O20">
      <f>SUM(M20:N20)</f>
    </nc>
    <odxf>
      <numFmt numFmtId="169" formatCode="_-&quot;$&quot;* #,##0_-;\-&quot;$&quot;* #,##0_-;_-&quot;$&quot;* &quot;-&quot;??_-;_-@_-"/>
      <border diagonalUp="0" diagonalDown="0" outline="0">
        <left style="medium">
          <color indexed="64"/>
        </left>
        <right style="medium">
          <color indexed="64"/>
        </right>
        <top/>
        <bottom/>
      </border>
      <protection locked="0" hidden="0"/>
    </odxf>
    <ndxf/>
  </rcc>
  <rcc rId="170" sId="19" odxf="1" s="1" dxf="1" numFmtId="34">
    <oc r="P20">
      <v>8.6212946527157328</v>
    </oc>
    <nc r="P20">
      <f>O20-K20</f>
    </nc>
    <odxf>
      <numFmt numFmtId="169" formatCode="_-&quot;$&quot;* #,##0_-;\-&quot;$&quot;* #,##0_-;_-&quot;$&quot;* &quot;-&quot;??_-;_-@_-"/>
      <border diagonalUp="0" diagonalDown="0" outline="0">
        <left/>
        <right style="medium">
          <color indexed="64"/>
        </right>
        <top/>
        <bottom/>
      </border>
      <protection locked="0" hidden="0"/>
    </odxf>
    <ndxf/>
  </rcc>
  <rcc rId="171" sId="19" odxf="1" s="1" dxf="1" numFmtId="34">
    <oc r="C21">
      <v>425.13349971298322</v>
    </oc>
    <nc r="C21">
      <f>'R:\2017 Cost of Service\Settlement Proposal\[2016 01 19 Rate Design Model_FINAL - Settlement Proposal.xlsx]Forecast Data For 2017'!$C$21</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72" sId="19" odxf="1" s="1" dxf="1" numFmtId="34">
    <oc r="D21">
      <v>425.13349971298322</v>
    </oc>
    <nc r="D21">
      <f>C21</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73" sId="19" odxf="1" s="1" dxf="1" numFmtId="34">
    <oc r="E21">
      <v>425.13349971298322</v>
    </oc>
    <nc r="E21">
      <f>IF(SUM(C21:D21)=0,0,AVERAGE(C21:D21))</f>
    </nc>
    <odxf>
      <numFmt numFmtId="170" formatCode="_-* #,##0_-;\-* #,##0_-;_-* &quot;-&quot;??_-;_-@_-"/>
      <border diagonalUp="0" diagonalDown="0" outline="0">
        <left style="medium">
          <color indexed="64"/>
        </left>
        <right style="medium">
          <color indexed="64"/>
        </right>
        <top/>
        <bottom/>
      </border>
      <protection locked="0" hidden="0"/>
    </odxf>
    <ndxf/>
  </rcc>
  <rcc rId="174" sId="19" odxf="1" s="1" dxf="1" numFmtId="34">
    <oc r="F21">
      <v>1405153.9196494406</v>
    </oc>
    <nc r="F21">
      <f>'R:\2017 Cost of Service\Settlement Proposal\[2016 01 19 Rate Design Model_FINAL - Settlement Proposal.xlsx]Forecast Data For 2017'!$C$22</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G21" start="0" length="0">
    <dxf/>
  </rfmt>
  <rcc rId="175" sId="19" odxf="1" s="1" dxf="1" numFmtId="34">
    <oc r="H21">
      <v>12.84</v>
    </oc>
    <nc r="H21">
      <f>'R:\2017 Cost of Service\Settlement Proposal\[2016 01 19 Rate Design Model_FINAL - Settlement Proposal.xlsx]Distribution Rate Schedule'!$B$17</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76" sId="19" odxf="1" s="1" dxf="1" numFmtId="34">
    <oc r="I21">
      <v>9.9000000000000008E-3</v>
    </oc>
    <nc r="I21">
      <f>'R:\2017 Cost of Service\Settlement Proposal\[2016 01 19 Rate Design Model_FINAL - Settlement Proposal.xlsx]Distribution Rate Schedule'!$E$17</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J21" start="0" length="0">
    <dxf/>
  </rfmt>
  <rcc rId="177" sId="19" odxf="1" s="1" dxf="1" numFmtId="34">
    <oc r="K21">
      <v>79415.593440305922</v>
    </oc>
    <nc r="K21">
      <f>H21*E21*12+I21*F21+J21*G21</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1" start="0" length="0">
    <dxf>
      <font>
        <sz val="11"/>
        <color theme="1"/>
        <name val="Calibri"/>
        <scheme val="minor"/>
      </font>
    </dxf>
  </rfmt>
  <rcc rId="178" sId="19" odxf="1" s="1" dxf="1" numFmtId="34">
    <oc r="M21">
      <v>79404.22348719943</v>
    </oc>
    <nc r="M21">
      <f>'R:\2017 Cost of Service\Settlement Proposal\[2016 01 19 Rate Design Model_FINAL - Settlement Proposal.xlsx]Cost Allocation Study'!$K$11</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N21" start="0" length="0">
    <dxf/>
  </rfmt>
  <rcc rId="179" sId="19" odxf="1" s="1" dxf="1" numFmtId="34">
    <oc r="O21">
      <v>79404.22348719943</v>
    </oc>
    <nc r="O21">
      <f>SUM(M21:N21)</f>
    </nc>
    <odxf>
      <numFmt numFmtId="169" formatCode="_-&quot;$&quot;* #,##0_-;\-&quot;$&quot;* #,##0_-;_-&quot;$&quot;* &quot;-&quot;??_-;_-@_-"/>
      <border diagonalUp="0" diagonalDown="0" outline="0">
        <left style="medium">
          <color indexed="64"/>
        </left>
        <right style="medium">
          <color indexed="64"/>
        </right>
        <top/>
        <bottom/>
      </border>
      <protection locked="0" hidden="0"/>
    </odxf>
    <ndxf/>
  </rcc>
  <rcc rId="180" sId="19" odxf="1" s="1" dxf="1" numFmtId="34">
    <oc r="P21">
      <v>-11.369953106492176</v>
    </oc>
    <nc r="P21">
      <f>O21-K21</f>
    </nc>
    <odxf>
      <numFmt numFmtId="169" formatCode="_-&quot;$&quot;* #,##0_-;\-&quot;$&quot;* #,##0_-;_-&quot;$&quot;* &quot;-&quot;??_-;_-@_-"/>
      <border diagonalUp="0" diagonalDown="0" outline="0">
        <left/>
        <right style="medium">
          <color indexed="64"/>
        </right>
        <top/>
        <bottom/>
      </border>
      <protection locked="0" hidden="0"/>
    </odxf>
    <ndxf/>
  </rcc>
  <rfmt sheetId="19" s="1" sqref="C22" start="0" length="0">
    <dxf/>
  </rfmt>
  <rfmt sheetId="19" s="1" sqref="D22" start="0" length="0">
    <dxf/>
  </rfmt>
  <rcc rId="181" sId="19" odxf="1" s="1" dxf="1" numFmtId="34">
    <oc r="E22">
      <v>0</v>
    </oc>
    <nc r="E22">
      <f>IF(SUM(C22:D22)=0,0,AVERAGE(C22:D22))</f>
    </nc>
    <odxf>
      <numFmt numFmtId="170" formatCode="_-* #,##0_-;\-* #,##0_-;_-* &quot;-&quot;??_-;_-@_-"/>
      <border diagonalUp="0" diagonalDown="0" outline="0">
        <left style="medium">
          <color indexed="64"/>
        </left>
        <right style="medium">
          <color indexed="64"/>
        </right>
        <top/>
        <bottom/>
      </border>
      <protection locked="0" hidden="0"/>
    </odxf>
    <ndxf/>
  </rcc>
  <rfmt sheetId="19" s="1" sqref="F22" start="0" length="0">
    <dxf/>
  </rfmt>
  <rfmt sheetId="19" s="1" sqref="G22" start="0" length="0">
    <dxf/>
  </rfmt>
  <rfmt sheetId="19" s="1" sqref="H22" start="0" length="0">
    <dxf/>
  </rfmt>
  <rfmt sheetId="19" s="1" sqref="I22" start="0" length="0">
    <dxf/>
  </rfmt>
  <rfmt sheetId="19" s="1" sqref="J22" start="0" length="0">
    <dxf/>
  </rfmt>
  <rcc rId="182" sId="19" odxf="1" s="1" dxf="1" numFmtId="34">
    <oc r="K22">
      <v>0</v>
    </oc>
    <nc r="K22">
      <f>H22*E22*12+I22*F22+J22*G22</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2" start="0" length="0">
    <dxf>
      <font>
        <sz val="11"/>
        <color theme="1"/>
        <name val="Calibri"/>
        <scheme val="minor"/>
      </font>
    </dxf>
  </rfmt>
  <rfmt sheetId="19" s="1" sqref="M22" start="0" length="0">
    <dxf/>
  </rfmt>
  <rfmt sheetId="19" s="1" sqref="N22" start="0" length="0">
    <dxf/>
  </rfmt>
  <rcc rId="183" sId="19" odxf="1" s="1" dxf="1" numFmtId="34">
    <oc r="O22">
      <v>0</v>
    </oc>
    <nc r="O22">
      <f>SUM(M22:N22)</f>
    </nc>
    <odxf>
      <numFmt numFmtId="169" formatCode="_-&quot;$&quot;* #,##0_-;\-&quot;$&quot;* #,##0_-;_-&quot;$&quot;* &quot;-&quot;??_-;_-@_-"/>
      <border diagonalUp="0" diagonalDown="0" outline="0">
        <left style="medium">
          <color indexed="64"/>
        </left>
        <right style="medium">
          <color indexed="64"/>
        </right>
        <top/>
        <bottom/>
      </border>
      <protection locked="0" hidden="0"/>
    </odxf>
    <ndxf/>
  </rcc>
  <rcc rId="184" sId="19" odxf="1" s="1" dxf="1" numFmtId="34">
    <oc r="P22">
      <v>0</v>
    </oc>
    <nc r="P22">
      <f>O22-K22</f>
    </nc>
    <odxf>
      <numFmt numFmtId="169" formatCode="_-&quot;$&quot;* #,##0_-;\-&quot;$&quot;* #,##0_-;_-&quot;$&quot;* &quot;-&quot;??_-;_-@_-"/>
      <border diagonalUp="0" diagonalDown="0" outline="0">
        <left/>
        <right style="medium">
          <color indexed="64"/>
        </right>
        <top/>
        <bottom/>
      </border>
      <protection locked="0" hidden="0"/>
    </odxf>
    <ndxf/>
  </rcc>
  <rcc rId="185" sId="19" odxf="1" s="1" dxf="1" numFmtId="34">
    <oc r="C23">
      <v>2</v>
    </oc>
    <nc r="C23">
      <f>'R:\2017 Cost of Service\Settlement Proposal\[2016 01 19 Rate Design Model_FINAL - Settlement Proposal.xlsx]Forecast Data For 2017'!$C$23</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86" sId="19" odxf="1" s="1" dxf="1" numFmtId="34">
    <oc r="D23">
      <v>2</v>
    </oc>
    <nc r="D23">
      <f>C23</f>
    </nc>
    <odxf>
      <numFmt numFmtId="170" formatCode="_-* #,##0_-;\-* #,##0_-;_-*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87" sId="19" odxf="1" s="1" dxf="1" numFmtId="34">
    <oc r="E23">
      <v>2</v>
    </oc>
    <nc r="E23">
      <f>IF(SUM(C23:D23)=0,0,AVERAGE(C23:D23))</f>
    </nc>
    <odxf>
      <numFmt numFmtId="170" formatCode="_-* #,##0_-;\-* #,##0_-;_-* &quot;-&quot;??_-;_-@_-"/>
      <border diagonalUp="0" diagonalDown="0" outline="0">
        <left style="medium">
          <color indexed="64"/>
        </left>
        <right style="medium">
          <color indexed="64"/>
        </right>
        <top/>
        <bottom/>
      </border>
      <protection locked="0" hidden="0"/>
    </odxf>
    <ndxf/>
  </rcc>
  <rfmt sheetId="19" s="1" sqref="F23" start="0" length="0">
    <dxf/>
  </rfmt>
  <rcc rId="188" sId="19" odxf="1" s="1" dxf="1" numFmtId="34">
    <oc r="G23">
      <v>139437.49637471305</v>
    </oc>
    <nc r="G23">
      <f>'R:\2017 Cost of Service\Settlement Proposal\[2016 01 19 Rate Design Model_FINAL - Settlement Proposal.xlsx]Forecast Data For 2017'!$C$24</f>
    </nc>
    <odxf>
      <numFmt numFmtId="170" formatCode="_-* #,##0_-;\-* #,##0_-;_-* &quot;-&quot;??_-;_-@_-"/>
      <fill>
        <patternFill patternType="solid">
          <fgColor indexed="64"/>
          <bgColor theme="6" tint="0.79998168889431442"/>
        </patternFill>
      </fill>
      <border diagonalUp="0" diagonalDown="0" outline="0">
        <left/>
        <right style="medium">
          <color indexed="64"/>
        </right>
        <top/>
        <bottom/>
      </border>
      <protection locked="0" hidden="0"/>
    </odxf>
    <ndxf/>
  </rcc>
  <rcc rId="189" sId="19" odxf="1" s="1" dxf="1" numFmtId="34">
    <oc r="H23">
      <v>361.94</v>
    </oc>
    <nc r="H23">
      <f>'R:\2017 Cost of Service\Settlement Proposal\[2016 01 19 Rate Design Model_FINAL - Settlement Proposal.xlsx]Distribution Rate Schedule'!$C$14</f>
    </nc>
    <odxf>
      <numFmt numFmtId="166" formatCode="_-&quot;$&quot;* #,##0.00_-;\-&quot;$&quot;* #,##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fmt sheetId="19" s="1" sqref="I23" start="0" length="0">
    <dxf/>
  </rfmt>
  <rcc rId="190" sId="19" odxf="1" s="1" dxf="1" numFmtId="34">
    <oc r="J23">
      <v>1.9971000000000001</v>
    </oc>
    <nc r="J23">
      <f>'R:\2017 Cost of Service\Settlement Proposal\[2016 01 19 Rate Design Model_FINAL - Settlement Proposal.xlsx]Distribution Rate Schedule'!$D$14</f>
    </nc>
    <odxf>
      <numFmt numFmtId="171" formatCode="_-&quot;$&quot;* #,##0.0000_-;\-&quot;$&quot;* #,##0.000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91" sId="19" odxf="1" s="1" dxf="1" numFmtId="34">
    <oc r="K23">
      <v>287157.18400993943</v>
    </oc>
    <nc r="K23">
      <f>H23*E23*12+I23*F23+J23*G23</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3" start="0" length="0">
    <dxf>
      <font>
        <sz val="11"/>
        <color theme="1"/>
        <name val="Calibri"/>
        <scheme val="minor"/>
      </font>
    </dxf>
  </rfmt>
  <rcc rId="192" sId="19" odxf="1" s="1" dxf="1" numFmtId="34">
    <oc r="M23">
      <v>203495.62014819446</v>
    </oc>
    <nc r="M23">
      <f>'R:\2017 Cost of Service\Settlement Proposal\[2016 01 19 Rate Design Model_FINAL - Settlement Proposal.xlsx]Cost Allocation Study'!$K$12</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93" sId="19" odxf="1" s="1" dxf="1" numFmtId="34">
    <oc r="N23">
      <v>83662.497824827835</v>
    </oc>
    <nc r="N23">
      <f>-'R:\2017 Cost of Service\Settlement Proposal\[2016 01 19 Rate Design Model_FINAL - Settlement Proposal.xlsx]Transformer Allowance'!$C$13</f>
    </nc>
    <odxf>
      <numFmt numFmtId="169" formatCode="_-&quot;$&quot;* #,##0_-;\-&quot;$&quot;* #,##0_-;_-&quot;$&quot;* &quot;-&quot;??_-;_-@_-"/>
      <fill>
        <patternFill patternType="solid">
          <fgColor indexed="64"/>
          <bgColor theme="6" tint="0.79998168889431442"/>
        </patternFill>
      </fill>
      <border diagonalUp="0" diagonalDown="0" outline="0">
        <left style="medium">
          <color indexed="64"/>
        </left>
        <right style="medium">
          <color indexed="64"/>
        </right>
        <top/>
        <bottom/>
      </border>
      <protection locked="0" hidden="0"/>
    </odxf>
    <ndxf/>
  </rcc>
  <rcc rId="194" sId="19" odxf="1" s="1" dxf="1" numFmtId="34">
    <oc r="O23">
      <v>287158.11797302228</v>
    </oc>
    <nc r="O23">
      <f>SUM(M23:N23)</f>
    </nc>
    <odxf>
      <numFmt numFmtId="169" formatCode="_-&quot;$&quot;* #,##0_-;\-&quot;$&quot;* #,##0_-;_-&quot;$&quot;* &quot;-&quot;??_-;_-@_-"/>
      <border diagonalUp="0" diagonalDown="0" outline="0">
        <left style="medium">
          <color indexed="64"/>
        </left>
        <right style="medium">
          <color indexed="64"/>
        </right>
        <top/>
        <bottom/>
      </border>
      <protection locked="0" hidden="0"/>
    </odxf>
    <ndxf/>
  </rcc>
  <rcc rId="195" sId="19" odxf="1" s="1" dxf="1" numFmtId="34">
    <oc r="P23">
      <v>0.93396308284718543</v>
    </oc>
    <nc r="P23">
      <f>O23-K23</f>
    </nc>
    <odxf>
      <numFmt numFmtId="169" formatCode="_-&quot;$&quot;* #,##0_-;\-&quot;$&quot;* #,##0_-;_-&quot;$&quot;* &quot;-&quot;??_-;_-@_-"/>
      <border diagonalUp="0" diagonalDown="0" outline="0">
        <left/>
        <right style="medium">
          <color indexed="64"/>
        </right>
        <top/>
        <bottom/>
      </border>
      <protection locked="0" hidden="0"/>
    </odxf>
    <ndxf/>
  </rcc>
  <rfmt sheetId="19" s="1" sqref="C24" start="0" length="0">
    <dxf/>
  </rfmt>
  <rfmt sheetId="19" s="1" sqref="D24" start="0" length="0">
    <dxf/>
  </rfmt>
  <rcc rId="196" sId="19" odxf="1" s="1" dxf="1" numFmtId="34">
    <oc r="E24">
      <v>0</v>
    </oc>
    <nc r="E24">
      <f>IF(SUM(C24:D24)=0,0,AVERAGE(C24:D24))</f>
    </nc>
    <odxf>
      <numFmt numFmtId="167" formatCode="_-* #,##0.00_-;\-* #,##0.00_-;_-* &quot;-&quot;??_-;_-@_-"/>
      <border diagonalUp="0" diagonalDown="0" outline="0">
        <left style="medium">
          <color indexed="64"/>
        </left>
        <right style="medium">
          <color indexed="64"/>
        </right>
        <top/>
        <bottom/>
      </border>
      <protection locked="0" hidden="0"/>
    </odxf>
    <ndxf>
      <numFmt numFmtId="35" formatCode="_(* #,##0.00_);_(* \(#,##0.00\);_(* &quot;-&quot;??_);_(@_)"/>
    </ndxf>
  </rcc>
  <rfmt sheetId="19" s="1" sqref="F24" start="0" length="0">
    <dxf/>
  </rfmt>
  <rfmt sheetId="19" s="1" sqref="G24" start="0" length="0">
    <dxf/>
  </rfmt>
  <rfmt sheetId="19" s="1" sqref="H24" start="0" length="0">
    <dxf>
      <numFmt numFmtId="34" formatCode="_(&quot;$&quot;* #,##0.00_);_(&quot;$&quot;* \(#,##0.00\);_(&quot;$&quot;* &quot;-&quot;??_);_(@_)"/>
    </dxf>
  </rfmt>
  <rfmt sheetId="19" s="1" sqref="I24" start="0" length="0">
    <dxf/>
  </rfmt>
  <rfmt sheetId="19" s="1" sqref="J24" start="0" length="0">
    <dxf/>
  </rfmt>
  <rcc rId="197" sId="19" odxf="1" s="1" dxf="1" numFmtId="34">
    <oc r="K24">
      <v>0</v>
    </oc>
    <nc r="K24">
      <f>H24*E24*12+I24*F24+J24*G24</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4" start="0" length="0">
    <dxf>
      <font>
        <sz val="11"/>
        <color theme="1"/>
        <name val="Calibri"/>
        <scheme val="minor"/>
      </font>
    </dxf>
  </rfmt>
  <rfmt sheetId="19" s="1" sqref="M24" start="0" length="0">
    <dxf/>
  </rfmt>
  <rfmt sheetId="19" s="1" sqref="N24" start="0" length="0">
    <dxf/>
  </rfmt>
  <rcc rId="198" sId="19" odxf="1" s="1" dxf="1" numFmtId="34">
    <oc r="O24">
      <v>0</v>
    </oc>
    <nc r="O24">
      <f>SUM(M24:N24)</f>
    </nc>
    <odxf>
      <numFmt numFmtId="169" formatCode="_-&quot;$&quot;* #,##0_-;\-&quot;$&quot;* #,##0_-;_-&quot;$&quot;* &quot;-&quot;??_-;_-@_-"/>
      <border diagonalUp="0" diagonalDown="0" outline="0">
        <left style="medium">
          <color indexed="64"/>
        </left>
        <right style="medium">
          <color indexed="64"/>
        </right>
        <top/>
        <bottom/>
      </border>
      <protection locked="0" hidden="0"/>
    </odxf>
    <ndxf/>
  </rcc>
  <rcc rId="199" sId="19" odxf="1" s="1" dxf="1" numFmtId="34">
    <oc r="P24">
      <v>0</v>
    </oc>
    <nc r="P24">
      <f>O24-K24</f>
    </nc>
    <odxf>
      <numFmt numFmtId="169" formatCode="_-&quot;$&quot;* #,##0_-;\-&quot;$&quot;* #,##0_-;_-&quot;$&quot;* &quot;-&quot;??_-;_-@_-"/>
      <border diagonalUp="0" diagonalDown="0" outline="0">
        <left/>
        <right style="medium">
          <color indexed="64"/>
        </right>
        <top/>
        <bottom/>
      </border>
      <protection locked="0" hidden="0"/>
    </odxf>
    <ndxf/>
  </rcc>
  <rfmt sheetId="19" s="1" sqref="C25" start="0" length="0">
    <dxf/>
  </rfmt>
  <rfmt sheetId="19" s="1" sqref="D25" start="0" length="0">
    <dxf/>
  </rfmt>
  <rcc rId="200" sId="19" odxf="1" s="1" dxf="1" numFmtId="34">
    <oc r="E25">
      <v>0</v>
    </oc>
    <nc r="E25">
      <f>IF(SUM(C25:D25)=0,0,AVERAGE(C25:D25))</f>
    </nc>
    <odxf>
      <numFmt numFmtId="167" formatCode="_-* #,##0.00_-;\-* #,##0.00_-;_-* &quot;-&quot;??_-;_-@_-"/>
      <border diagonalUp="0" diagonalDown="0" outline="0">
        <left style="medium">
          <color indexed="64"/>
        </left>
        <right style="medium">
          <color indexed="64"/>
        </right>
        <top/>
        <bottom/>
      </border>
      <protection locked="0" hidden="0"/>
    </odxf>
    <ndxf>
      <numFmt numFmtId="35" formatCode="_(* #,##0.00_);_(* \(#,##0.00\);_(* &quot;-&quot;??_);_(@_)"/>
    </ndxf>
  </rcc>
  <rfmt sheetId="19" s="1" sqref="F25" start="0" length="0">
    <dxf/>
  </rfmt>
  <rfmt sheetId="19" s="1" sqref="G25" start="0" length="0">
    <dxf/>
  </rfmt>
  <rfmt sheetId="19" s="1" sqref="H25" start="0" length="0">
    <dxf>
      <numFmt numFmtId="34" formatCode="_(&quot;$&quot;* #,##0.00_);_(&quot;$&quot;* \(#,##0.00\);_(&quot;$&quot;* &quot;-&quot;??_);_(@_)"/>
    </dxf>
  </rfmt>
  <rfmt sheetId="19" s="1" sqref="I25" start="0" length="0">
    <dxf/>
  </rfmt>
  <rfmt sheetId="19" s="1" sqref="J25" start="0" length="0">
    <dxf/>
  </rfmt>
  <rcc rId="201" sId="19" odxf="1" s="1" dxf="1" numFmtId="34">
    <oc r="K25">
      <v>0</v>
    </oc>
    <nc r="K25">
      <f>H25*E25*12+I25*F25+J25*G25</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5" start="0" length="0">
    <dxf>
      <font>
        <sz val="11"/>
        <color theme="1"/>
        <name val="Calibri"/>
        <scheme val="minor"/>
      </font>
    </dxf>
  </rfmt>
  <rfmt sheetId="19" s="1" sqref="M25" start="0" length="0">
    <dxf/>
  </rfmt>
  <rfmt sheetId="19" s="1" sqref="N25" start="0" length="0">
    <dxf/>
  </rfmt>
  <rcc rId="202" sId="19" odxf="1" s="1" dxf="1" numFmtId="34">
    <oc r="O25">
      <v>0</v>
    </oc>
    <nc r="O25">
      <f>SUM(M25:N25)</f>
    </nc>
    <odxf>
      <numFmt numFmtId="169" formatCode="_-&quot;$&quot;* #,##0_-;\-&quot;$&quot;* #,##0_-;_-&quot;$&quot;* &quot;-&quot;??_-;_-@_-"/>
      <border diagonalUp="0" diagonalDown="0" outline="0">
        <left style="medium">
          <color indexed="64"/>
        </left>
        <right style="medium">
          <color indexed="64"/>
        </right>
        <top/>
        <bottom/>
      </border>
      <protection locked="0" hidden="0"/>
    </odxf>
    <ndxf/>
  </rcc>
  <rcc rId="203" sId="19" odxf="1" s="1" dxf="1" numFmtId="34">
    <oc r="P25">
      <v>0</v>
    </oc>
    <nc r="P25">
      <f>O25-K25</f>
    </nc>
    <odxf>
      <numFmt numFmtId="169" formatCode="_-&quot;$&quot;* #,##0_-;\-&quot;$&quot;* #,##0_-;_-&quot;$&quot;* &quot;-&quot;??_-;_-@_-"/>
      <border diagonalUp="0" diagonalDown="0" outline="0">
        <left/>
        <right style="medium">
          <color indexed="64"/>
        </right>
        <top/>
        <bottom/>
      </border>
      <protection locked="0" hidden="0"/>
    </odxf>
    <ndxf/>
  </rcc>
  <rfmt sheetId="19" s="1" sqref="C26" start="0" length="0">
    <dxf/>
  </rfmt>
  <rfmt sheetId="19" s="1" sqref="D26" start="0" length="0">
    <dxf/>
  </rfmt>
  <rcc rId="204" sId="19" odxf="1" s="1" dxf="1" numFmtId="34">
    <oc r="E26">
      <v>0</v>
    </oc>
    <nc r="E26">
      <f>IF(SUM(C26:D26)=0,0,AVERAGE(C26:D26))</f>
    </nc>
    <odxf>
      <numFmt numFmtId="167" formatCode="_-* #,##0.00_-;\-* #,##0.00_-;_-* &quot;-&quot;??_-;_-@_-"/>
      <border diagonalUp="0" diagonalDown="0" outline="0">
        <left style="medium">
          <color indexed="64"/>
        </left>
        <right style="medium">
          <color indexed="64"/>
        </right>
        <top/>
        <bottom/>
      </border>
      <protection locked="0" hidden="0"/>
    </odxf>
    <ndxf>
      <numFmt numFmtId="35" formatCode="_(* #,##0.00_);_(* \(#,##0.00\);_(* &quot;-&quot;??_);_(@_)"/>
    </ndxf>
  </rcc>
  <rfmt sheetId="19" s="1" sqref="F26" start="0" length="0">
    <dxf/>
  </rfmt>
  <rfmt sheetId="19" s="1" sqref="G26" start="0" length="0">
    <dxf/>
  </rfmt>
  <rfmt sheetId="19" s="1" sqref="H26" start="0" length="0">
    <dxf>
      <numFmt numFmtId="34" formatCode="_(&quot;$&quot;* #,##0.00_);_(&quot;$&quot;* \(#,##0.00\);_(&quot;$&quot;* &quot;-&quot;??_);_(@_)"/>
    </dxf>
  </rfmt>
  <rfmt sheetId="19" s="1" sqref="I26" start="0" length="0">
    <dxf/>
  </rfmt>
  <rfmt sheetId="19" s="1" sqref="J26" start="0" length="0">
    <dxf/>
  </rfmt>
  <rcc rId="205" sId="19" odxf="1" s="1" dxf="1" numFmtId="34">
    <oc r="K26">
      <v>0</v>
    </oc>
    <nc r="K26">
      <f>H26*E26*12+I26*F26+J26*G26</f>
    </nc>
    <odxf>
      <numFmt numFmtId="166" formatCode="_-&quot;$&quot;* #,##0.00_-;\-&quot;$&quot;* #,##0.00_-;_-&quot;$&quot;* &quot;-&quot;??_-;_-@_-"/>
      <border diagonalUp="0" diagonalDown="0" outline="0">
        <left style="medium">
          <color indexed="64"/>
        </left>
        <right style="medium">
          <color indexed="64"/>
        </right>
        <top/>
        <bottom/>
      </border>
      <protection locked="0" hidden="0"/>
    </odxf>
    <ndxf/>
  </rcc>
  <rfmt sheetId="19" s="1" sqref="L26" start="0" length="0">
    <dxf>
      <font>
        <sz val="11"/>
        <color theme="1"/>
        <name val="Calibri"/>
        <scheme val="minor"/>
      </font>
    </dxf>
  </rfmt>
  <rfmt sheetId="19" s="1" sqref="M26" start="0" length="0">
    <dxf/>
  </rfmt>
  <rfmt sheetId="19" s="1" sqref="N26" start="0" length="0">
    <dxf/>
  </rfmt>
  <rcc rId="206" sId="19" odxf="1" s="1" dxf="1" numFmtId="34">
    <oc r="O26">
      <v>0</v>
    </oc>
    <nc r="O26">
      <f>SUM(M26:N26)</f>
    </nc>
    <odxf>
      <numFmt numFmtId="169" formatCode="_-&quot;$&quot;* #,##0_-;\-&quot;$&quot;* #,##0_-;_-&quot;$&quot;* &quot;-&quot;??_-;_-@_-"/>
      <border diagonalUp="0" diagonalDown="0" outline="0">
        <left style="medium">
          <color indexed="64"/>
        </left>
        <right style="medium">
          <color indexed="64"/>
        </right>
        <top/>
        <bottom/>
      </border>
      <protection locked="0" hidden="0"/>
    </odxf>
    <ndxf/>
  </rcc>
  <rcc rId="207" sId="19" odxf="1" s="1" dxf="1" numFmtId="34">
    <oc r="P26">
      <v>0</v>
    </oc>
    <nc r="P26">
      <f>O26-K26</f>
    </nc>
    <odxf>
      <numFmt numFmtId="169" formatCode="_-&quot;$&quot;* #,##0_-;\-&quot;$&quot;* #,##0_-;_-&quot;$&quot;* &quot;-&quot;??_-;_-@_-"/>
      <border diagonalUp="0" diagonalDown="0" outline="0">
        <left/>
        <right style="medium">
          <color indexed="64"/>
        </right>
        <top/>
        <bottom/>
      </border>
      <protection locked="0" hidden="0"/>
    </odxf>
    <ndxf/>
  </rcc>
  <rfmt sheetId="19" s="1" sqref="C27" start="0" length="0">
    <dxf/>
  </rfmt>
  <rfmt sheetId="19" s="1" sqref="D27" start="0" length="0">
    <dxf/>
  </rfmt>
  <rcc rId="208" sId="19" odxf="1" s="1" dxf="1" numFmtId="34">
    <oc r="E27">
      <v>0</v>
    </oc>
    <nc r="E27">
      <f>IF(SUM(C27:D27)=0,0,AVERAGE(C27:D27))</f>
    </nc>
    <odxf>
      <numFmt numFmtId="167" formatCode="_-* #,##0.00_-;\-* #,##0.00_-;_-* &quot;-&quot;??_-;_-@_-"/>
      <border diagonalUp="0" diagonalDown="0" outline="0">
        <left style="medium">
          <color indexed="64"/>
        </left>
        <right style="medium">
          <color indexed="64"/>
        </right>
        <top/>
        <bottom/>
      </border>
      <protection locked="0" hidden="0"/>
    </odxf>
    <ndxf>
      <numFmt numFmtId="35" formatCode="_(* #,##0.00_);_(* \(#,##0.00\);_(* &quot;-&quot;??_);_(@_)"/>
    </ndxf>
  </rcc>
  <rfmt sheetId="19" s="1" sqref="F27" start="0" length="0">
    <dxf/>
  </rfmt>
  <rfmt sheetId="19" s="1" sqref="G27" start="0" length="0">
    <dxf/>
  </rfmt>
  <rfmt sheetId="19" s="1" sqref="H27" start="0" length="0">
    <dxf>
      <numFmt numFmtId="34" formatCode="_(&quot;$&quot;* #,##0.00_);_(&quot;$&quot;* \(#,##0.00\);_(&quot;$&quot;* &quot;-&quot;??_);_(@_)"/>
    </dxf>
  </rfmt>
  <rfmt sheetId="19" s="1" sqref="I27" start="0" length="0">
    <dxf/>
  </rfmt>
  <rfmt sheetId="19" s="1" sqref="J27" start="0" length="0">
    <dxf/>
  </rfmt>
  <rcc rId="209" sId="19" odxf="1" s="1" dxf="1" numFmtId="34">
    <oc r="K27">
      <v>0</v>
    </oc>
    <nc r="K27">
      <f>H27*E27*12+I27*F27+J27*G27</f>
    </nc>
    <odxf>
      <numFmt numFmtId="166" formatCode="_-&quot;$&quot;* #,##0.00_-;\-&quot;$&quot;* #,##0.00_-;_-&quot;$&quot;* &quot;-&quot;??_-;_-@_-"/>
      <border diagonalUp="0" diagonalDown="0" outline="0">
        <left style="medium">
          <color indexed="64"/>
        </left>
        <right style="medium">
          <color indexed="64"/>
        </right>
        <top/>
        <bottom style="double">
          <color indexed="64"/>
        </bottom>
      </border>
      <protection locked="0" hidden="0"/>
    </odxf>
    <ndxf/>
  </rcc>
  <rfmt sheetId="19" s="1" sqref="L27" start="0" length="0">
    <dxf>
      <font>
        <sz val="11"/>
        <color theme="1"/>
        <name val="Calibri"/>
        <scheme val="minor"/>
      </font>
    </dxf>
  </rfmt>
  <rfmt sheetId="19" s="1" sqref="M27" start="0" length="0">
    <dxf/>
  </rfmt>
  <rfmt sheetId="19" s="1" sqref="N27" start="0" length="0">
    <dxf/>
  </rfmt>
  <rcc rId="210" sId="19" odxf="1" s="1" dxf="1" numFmtId="34">
    <oc r="O27">
      <v>0</v>
    </oc>
    <nc r="O27">
      <f>SUM(M27:N27)</f>
    </nc>
    <odxf>
      <numFmt numFmtId="169" formatCode="_-&quot;$&quot;* #,##0_-;\-&quot;$&quot;* #,##0_-;_-&quot;$&quot;* &quot;-&quot;??_-;_-@_-"/>
      <border diagonalUp="0" diagonalDown="0" outline="0">
        <left style="medium">
          <color indexed="64"/>
        </left>
        <right style="medium">
          <color indexed="64"/>
        </right>
        <top/>
        <bottom style="double">
          <color indexed="64"/>
        </bottom>
      </border>
      <protection locked="0" hidden="0"/>
    </odxf>
    <ndxf/>
  </rcc>
  <rcc rId="211" sId="19" odxf="1" s="1" dxf="1" numFmtId="34">
    <oc r="P27">
      <v>0</v>
    </oc>
    <nc r="P27">
      <f>O27-K27</f>
    </nc>
    <odxf>
      <numFmt numFmtId="169" formatCode="_-&quot;$&quot;* #,##0_-;\-&quot;$&quot;* #,##0_-;_-&quot;$&quot;* &quot;-&quot;??_-;_-@_-"/>
      <border diagonalUp="0" diagonalDown="0" outline="0">
        <left style="medium">
          <color indexed="64"/>
        </left>
        <right style="medium">
          <color indexed="64"/>
        </right>
        <top/>
        <bottom style="double">
          <color indexed="64"/>
        </bottom>
      </border>
      <protection locked="0" hidden="0"/>
    </odxf>
    <ndxf/>
  </rcc>
  <rfmt sheetId="19" s="1" sqref="C28" start="0" length="0">
    <dxf>
      <font>
        <sz val="11"/>
        <color theme="1"/>
        <name val="Calibri"/>
        <scheme val="minor"/>
      </font>
    </dxf>
  </rfmt>
  <rfmt sheetId="19" s="1" sqref="D28" start="0" length="0">
    <dxf>
      <font>
        <sz val="11"/>
        <color theme="1"/>
        <name val="Calibri"/>
        <scheme val="minor"/>
      </font>
    </dxf>
  </rfmt>
  <rfmt sheetId="19" s="1" sqref="E28" start="0" length="0">
    <dxf>
      <font>
        <sz val="11"/>
        <color theme="1"/>
        <name val="Calibri"/>
        <scheme val="minor"/>
      </font>
    </dxf>
  </rfmt>
  <rfmt sheetId="19" s="1" sqref="F28" start="0" length="0">
    <dxf>
      <font>
        <sz val="11"/>
        <color theme="1"/>
        <name val="Calibri"/>
        <scheme val="minor"/>
      </font>
    </dxf>
  </rfmt>
  <rfmt sheetId="19" s="1" sqref="G28" start="0" length="0">
    <dxf>
      <font>
        <sz val="11"/>
        <color theme="1"/>
        <name val="Calibri"/>
        <scheme val="minor"/>
      </font>
    </dxf>
  </rfmt>
  <rfmt sheetId="19" s="1" sqref="H28" start="0" length="0">
    <dxf>
      <font>
        <sz val="11"/>
        <color theme="1"/>
        <name val="Calibri"/>
        <scheme val="minor"/>
      </font>
    </dxf>
  </rfmt>
  <rfmt sheetId="19" s="1" sqref="I28" start="0" length="0">
    <dxf>
      <font>
        <sz val="11"/>
        <color theme="1"/>
        <name val="Calibri"/>
        <scheme val="minor"/>
      </font>
    </dxf>
  </rfmt>
  <rfmt sheetId="19" s="1" sqref="J28" start="0" length="0">
    <dxf>
      <font>
        <sz val="11"/>
        <color theme="1"/>
        <name val="Calibri"/>
        <scheme val="minor"/>
      </font>
    </dxf>
  </rfmt>
  <rfmt sheetId="19" s="1" sqref="K28" start="0" length="0">
    <dxf>
      <font>
        <sz val="11"/>
        <color theme="1"/>
        <name val="Calibri"/>
        <scheme val="minor"/>
      </font>
    </dxf>
  </rfmt>
  <rfmt sheetId="19" s="1" sqref="L28" start="0" length="0">
    <dxf>
      <font>
        <sz val="11"/>
        <color theme="1"/>
        <name val="Calibri"/>
        <scheme val="minor"/>
      </font>
    </dxf>
  </rfmt>
  <rfmt sheetId="19" s="1" sqref="M28" start="0" length="0">
    <dxf>
      <font>
        <sz val="11"/>
        <color theme="1"/>
        <name val="Calibri"/>
        <scheme val="minor"/>
      </font>
    </dxf>
  </rfmt>
  <rfmt sheetId="19" s="1" sqref="N28" start="0" length="0">
    <dxf>
      <font>
        <sz val="11"/>
        <color theme="1"/>
        <name val="Calibri"/>
        <scheme val="minor"/>
      </font>
    </dxf>
  </rfmt>
  <rfmt sheetId="19" s="1" sqref="O28" start="0" length="0">
    <dxf>
      <font>
        <sz val="11"/>
        <color theme="1"/>
        <name val="Calibri"/>
        <scheme val="minor"/>
      </font>
    </dxf>
  </rfmt>
  <rfmt sheetId="19" s="1" sqref="P28" start="0" length="0">
    <dxf>
      <font>
        <sz val="11"/>
        <color theme="1"/>
        <name val="Calibri"/>
        <scheme val="minor"/>
      </font>
    </dxf>
  </rfmt>
  <rfmt sheetId="19" s="1" sqref="C29" start="0" length="0">
    <dxf>
      <font>
        <sz val="11"/>
        <color theme="1"/>
        <name val="Calibri"/>
        <scheme val="minor"/>
      </font>
    </dxf>
  </rfmt>
  <rfmt sheetId="19" s="1" sqref="D29" start="0" length="0">
    <dxf>
      <font>
        <sz val="11"/>
        <color theme="1"/>
        <name val="Calibri"/>
        <scheme val="minor"/>
      </font>
    </dxf>
  </rfmt>
  <rfmt sheetId="19" s="1" sqref="E29" start="0" length="0">
    <dxf>
      <font>
        <sz val="11"/>
        <color theme="1"/>
        <name val="Calibri"/>
        <scheme val="minor"/>
      </font>
    </dxf>
  </rfmt>
  <rfmt sheetId="19" s="1" sqref="F29" start="0" length="0">
    <dxf>
      <font>
        <sz val="11"/>
        <color theme="1"/>
        <name val="Calibri"/>
        <scheme val="minor"/>
      </font>
    </dxf>
  </rfmt>
  <rfmt sheetId="19" s="1" sqref="G29" start="0" length="0">
    <dxf>
      <font>
        <sz val="11"/>
        <color theme="1"/>
        <name val="Calibri"/>
        <scheme val="minor"/>
      </font>
    </dxf>
  </rfmt>
  <rfmt sheetId="19" s="1" sqref="H29" start="0" length="0">
    <dxf>
      <font>
        <sz val="11"/>
        <color theme="1"/>
        <name val="Calibri"/>
        <scheme val="minor"/>
      </font>
    </dxf>
  </rfmt>
  <rfmt sheetId="19" s="1" sqref="I29" start="0" length="0">
    <dxf>
      <font>
        <sz val="11"/>
        <color theme="1"/>
        <name val="Calibri"/>
        <scheme val="minor"/>
      </font>
    </dxf>
  </rfmt>
  <rfmt sheetId="19" s="1" sqref="J29" start="0" length="0">
    <dxf>
      <font>
        <sz val="11"/>
        <color theme="1"/>
        <name val="Calibri"/>
        <scheme val="minor"/>
      </font>
    </dxf>
  </rfmt>
  <rcc rId="212" sId="19" odxf="1" s="1" dxf="1" numFmtId="34">
    <oc r="K29">
      <v>17752618.427753013</v>
    </oc>
    <nc r="K29">
      <f>SUM(K15:K27)</f>
    </nc>
    <odxf>
      <font>
        <b val="0"/>
        <i val="0"/>
        <strike val="0"/>
        <condense val="0"/>
        <extend val="0"/>
        <outline val="0"/>
        <shadow val="0"/>
        <u val="none"/>
        <vertAlign val="baseline"/>
        <sz val="10"/>
        <color auto="1"/>
        <name val="Arial"/>
        <scheme val="none"/>
      </font>
      <numFmt numFmtId="166" formatCode="_-&quot;$&quot;* #,##0.00_-;\-&quot;$&quot;* #,##0.0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odxf>
    <ndxf>
      <font>
        <sz val="11"/>
        <color theme="1"/>
        <name val="Calibri"/>
        <scheme val="minor"/>
      </font>
    </ndxf>
  </rcc>
  <rfmt sheetId="19" s="1" sqref="L29" start="0" length="0">
    <dxf>
      <font>
        <sz val="11"/>
        <color theme="1"/>
        <name val="Calibri"/>
        <scheme val="minor"/>
      </font>
    </dxf>
  </rfmt>
  <rcc rId="213" sId="19" odxf="1" s="1" dxf="1" numFmtId="34">
    <oc r="M29">
      <v>17260341.807767291</v>
    </oc>
    <nc r="M29">
      <f>SUM(M15:M27)</f>
    </nc>
    <odxf>
      <font>
        <b val="0"/>
        <i val="0"/>
        <strike val="0"/>
        <condense val="0"/>
        <extend val="0"/>
        <outline val="0"/>
        <shadow val="0"/>
        <u val="none"/>
        <vertAlign val="baseline"/>
        <sz val="10"/>
        <color auto="1"/>
        <name val="Arial"/>
        <scheme val="none"/>
      </font>
      <numFmt numFmtId="169"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odxf>
    <ndxf>
      <font>
        <sz val="11"/>
        <color theme="1"/>
        <name val="Calibri"/>
        <scheme val="minor"/>
      </font>
    </ndxf>
  </rcc>
  <rcc rId="214" sId="19" odxf="1" s="1" dxf="1" numFmtId="34">
    <oc r="N29">
      <v>478993.33430637297</v>
    </oc>
    <nc r="N29">
      <f>SUM(N15:N27)</f>
    </nc>
    <odxf>
      <font>
        <b val="0"/>
        <i val="0"/>
        <strike val="0"/>
        <condense val="0"/>
        <extend val="0"/>
        <outline val="0"/>
        <shadow val="0"/>
        <u val="none"/>
        <vertAlign val="baseline"/>
        <sz val="10"/>
        <color auto="1"/>
        <name val="Arial"/>
        <scheme val="none"/>
      </font>
      <numFmt numFmtId="169"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odxf>
    <ndxf>
      <font>
        <sz val="11"/>
        <color theme="1"/>
        <name val="Calibri"/>
        <scheme val="minor"/>
      </font>
    </ndxf>
  </rcc>
  <rcc rId="215" sId="19" odxf="1" s="1" dxf="1" numFmtId="34">
    <oc r="O29">
      <v>17739335.142073665</v>
    </oc>
    <nc r="O29">
      <f>M29+N29</f>
    </nc>
    <odxf>
      <font>
        <b val="0"/>
        <i val="0"/>
        <strike val="0"/>
        <condense val="0"/>
        <extend val="0"/>
        <outline val="0"/>
        <shadow val="0"/>
        <u val="none"/>
        <vertAlign val="baseline"/>
        <sz val="10"/>
        <color auto="1"/>
        <name val="Arial"/>
        <scheme val="none"/>
      </font>
      <numFmt numFmtId="169"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medium">
          <color indexed="64"/>
        </right>
        <top/>
        <bottom style="medium">
          <color indexed="64"/>
        </bottom>
      </border>
      <protection locked="0" hidden="0"/>
    </odxf>
    <ndxf>
      <font>
        <sz val="11"/>
        <color theme="1"/>
        <name val="Calibri"/>
        <scheme val="minor"/>
      </font>
    </ndxf>
  </rcc>
  <rcc rId="216" sId="19" odxf="1" s="1" dxf="1" numFmtId="34">
    <oc r="P29">
      <v>-13283.285679347813</v>
    </oc>
    <nc r="P29">
      <f>O29-K29</f>
    </nc>
    <odxf>
      <font>
        <b val="0"/>
        <i val="0"/>
        <strike val="0"/>
        <condense val="0"/>
        <extend val="0"/>
        <outline val="0"/>
        <shadow val="0"/>
        <u val="none"/>
        <vertAlign val="baseline"/>
        <sz val="10"/>
        <color auto="1"/>
        <name val="Arial"/>
        <scheme val="none"/>
      </font>
      <numFmt numFmtId="169" formatCode="_-&quot;$&quot;* #,##0_-;\-&quot;$&quot;* #,##0_-;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style="medium">
          <color indexed="64"/>
        </right>
        <top/>
        <bottom style="medium">
          <color indexed="64"/>
        </bottom>
      </border>
      <protection locked="0" hidden="0"/>
    </odxf>
    <ndxf>
      <font>
        <sz val="11"/>
        <color theme="1"/>
        <name val="Calibri"/>
        <scheme val="minor"/>
      </font>
    </ndxf>
  </rcc>
  <rcv guid="{AE01795C-0F1A-4D22-B411-4CB1D681CFC8}" action="delete"/>
  <rcv guid="{AE01795C-0F1A-4D22-B411-4CB1D681CFC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1" sqref="E56" start="0" length="0">
    <dxf/>
  </rfmt>
  <rfmt sheetId="14" s="1" sqref="F56" start="0" length="0">
    <dxf/>
  </rfmt>
  <rcc rId="217" sId="14" odxf="1" s="1" dxf="1" numFmtId="11">
    <oc r="I56">
      <v>41438481.710090362</v>
    </oc>
    <nc r="I56">
      <f>$I$65*E56</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bottom/>
      </border>
      <protection locked="0" hidden="0"/>
    </odxf>
    <ndxf/>
  </rcc>
  <rcc rId="218" sId="14" odxf="1" s="1" dxf="1" numFmtId="14">
    <oc r="K56">
      <v>4.2882135086352649E-2</v>
    </oc>
    <nc r="K56">
      <f>'R:\2017 Cost of Service\1.COS Models\BLG Models\Drafts\Revenue Requirement Model FINAL\[UPDATED 2017 Revenue Requirement  Model WITHOUT BUILDING.xlsx]Return on Capital'!$AD$8</f>
    </nc>
    <odxf>
      <font>
        <b val="0"/>
        <i val="0"/>
        <strike val="0"/>
        <condense val="0"/>
        <extend val="0"/>
        <outline val="0"/>
        <shadow val="0"/>
        <u val="none"/>
        <vertAlign val="baseline"/>
        <sz val="8"/>
        <color auto="1"/>
        <name val="Arial"/>
        <scheme val="none"/>
      </font>
      <numFmt numFmtId="14" formatCode="0.00%"/>
      <fill>
        <patternFill patternType="solid">
          <fgColor indexed="64"/>
          <bgColor theme="6" tint="0.79998168889431442"/>
        </patternFill>
      </fill>
      <border diagonalUp="0" diagonalDown="0" outline="0">
        <left/>
        <right/>
        <top/>
        <bottom/>
      </border>
      <protection locked="0" hidden="0"/>
    </odxf>
    <ndxf/>
  </rcc>
  <rfmt sheetId="14" s="1" sqref="L56" start="0" length="0">
    <dxf/>
  </rfmt>
  <rcc rId="219" sId="14" odxf="1" s="1" dxf="1" numFmtId="11">
    <oc r="O56">
      <v>1776970.5704654483</v>
    </oc>
    <nc r="O56">
      <f>K56*I56</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bottom/>
      </border>
      <protection locked="0" hidden="0"/>
    </odxf>
    <ndxf/>
  </rcc>
  <rfmt sheetId="14" s="1" sqref="E57" start="0" length="0">
    <dxf/>
  </rfmt>
  <rfmt sheetId="14" s="1" sqref="F57" start="0" length="0">
    <dxf/>
  </rfmt>
  <rcc rId="220" sId="14" odxf="1" s="1" dxf="1" numFmtId="11">
    <oc r="I57">
      <v>2959891.5507207401</v>
    </oc>
    <nc r="I57">
      <f>$I$65*E57</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bottom style="thin">
          <color indexed="64"/>
        </bottom>
      </border>
      <protection locked="0" hidden="0"/>
    </odxf>
    <ndxf/>
  </rcc>
  <rcc rId="221" sId="14" odxf="1" s="1" dxf="1" numFmtId="14">
    <oc r="K57">
      <v>1.6500000000000001E-2</v>
    </oc>
    <nc r="K57">
      <v>1.7600000000000001E-2</v>
    </nc>
    <ndxf/>
  </rcc>
  <rfmt sheetId="14" s="1" sqref="L57" start="0" length="0">
    <dxf/>
  </rfmt>
  <rcc rId="222" sId="14" odxf="1" s="1" dxf="1" numFmtId="11">
    <oc r="O57">
      <v>48838.210586892215</v>
    </oc>
    <nc r="O57">
      <f>K57*I57</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bottom style="thin">
          <color indexed="64"/>
        </bottom>
      </border>
      <protection locked="0" hidden="0"/>
    </odxf>
    <ndxf/>
  </rcc>
  <rcc rId="223" sId="14" odxf="1" s="1" dxf="1" numFmtId="14">
    <oc r="E58">
      <v>0.60000000000000009</v>
    </oc>
    <nc r="E58">
      <f>SUM(E56:E57)</f>
    </nc>
    <odxf>
      <font>
        <b val="0"/>
        <i val="0"/>
        <strike val="0"/>
        <condense val="0"/>
        <extend val="0"/>
        <outline val="0"/>
        <shadow val="0"/>
        <u val="none"/>
        <vertAlign val="baseline"/>
        <sz val="8"/>
        <color auto="1"/>
        <name val="Arial"/>
        <scheme val="none"/>
      </font>
      <numFmt numFmtId="168" formatCode="0.0%"/>
      <border diagonalUp="0" diagonalDown="0" outline="0">
        <left/>
        <right/>
        <top style="thin">
          <color indexed="64"/>
        </top>
        <bottom style="double">
          <color indexed="64"/>
        </bottom>
      </border>
      <protection locked="0" hidden="0"/>
    </odxf>
    <ndxf/>
  </rcc>
  <rfmt sheetId="14" s="1" sqref="F58" start="0" length="0">
    <dxf/>
  </rfmt>
  <rfmt sheetId="14" s="1" sqref="G58" start="0" length="0">
    <dxf/>
  </rfmt>
  <rfmt sheetId="14" s="1" sqref="H58" start="0" length="0">
    <dxf/>
  </rfmt>
  <rcc rId="224" sId="14" odxf="1" s="1" dxf="1" numFmtId="11">
    <oc r="I58">
      <v>44398373.260811105</v>
    </oc>
    <nc r="I58">
      <f>SUM(I56:I57)</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style="thin">
          <color indexed="64"/>
        </top>
        <bottom style="double">
          <color indexed="64"/>
        </bottom>
      </border>
      <protection locked="0" hidden="0"/>
    </odxf>
    <ndxf/>
  </rcc>
  <rcc rId="225" sId="14" odxf="1" s="1" dxf="1">
    <oc r="K58">
      <v>4.1123326080595803E-2</v>
    </oc>
    <nc r="K58">
      <f>IF(E58=0,0,SUMPRODUCT(E56:E57,K56:K57)/E58)</f>
    </nc>
    <ndxf/>
  </rcc>
  <rfmt sheetId="14" s="1" sqref="L58" start="0" length="0">
    <dxf/>
  </rfmt>
  <rcc rId="226" sId="14" odxf="1" s="1" dxf="1" numFmtId="11">
    <oc r="O58">
      <v>1825808.7810523405</v>
    </oc>
    <nc r="O58">
      <f>SUM(O56:O57)</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style="thin">
          <color indexed="64"/>
        </top>
        <bottom style="double">
          <color indexed="64"/>
        </bottom>
      </border>
      <protection locked="0" hidden="0"/>
    </odxf>
    <ndxf/>
  </rcc>
  <rfmt sheetId="14" s="1" sqref="E59" start="0" length="0">
    <dxf/>
  </rfmt>
  <rfmt sheetId="14" s="1" sqref="F59" start="0" length="0">
    <dxf/>
  </rfmt>
  <rfmt sheetId="14" s="1" sqref="G59" start="0" length="0">
    <dxf/>
  </rfmt>
  <rfmt sheetId="14" s="1" sqref="H59" start="0" length="0">
    <dxf/>
  </rfmt>
  <rfmt sheetId="14" s="1" sqref="K59" start="0" length="0">
    <dxf/>
  </rfmt>
  <rfmt sheetId="14" s="1" sqref="L59" start="0" length="0">
    <dxf/>
  </rfmt>
  <rfmt sheetId="14" s="1" sqref="E60" start="0" length="0">
    <dxf/>
  </rfmt>
  <rfmt sheetId="14" s="1" sqref="F60" start="0" length="0">
    <dxf/>
  </rfmt>
  <rfmt sheetId="14" s="1" sqref="G60" start="0" length="0">
    <dxf/>
  </rfmt>
  <rfmt sheetId="14" s="1" sqref="H60" start="0" length="0">
    <dxf/>
  </rfmt>
  <rfmt sheetId="14" s="1" sqref="K60" start="0" length="0">
    <dxf/>
  </rfmt>
  <rfmt sheetId="14" s="1" sqref="L60" start="0" length="0">
    <dxf/>
  </rfmt>
  <rfmt sheetId="14" s="1" sqref="E61" start="0" length="0">
    <dxf/>
  </rfmt>
  <rfmt sheetId="14" s="1" sqref="F61" start="0" length="0">
    <dxf/>
  </rfmt>
  <rcc rId="227" sId="14" odxf="1" s="1" dxf="1" numFmtId="11">
    <oc r="I61">
      <v>29598915.507207401</v>
    </oc>
    <nc r="I61">
      <f>$I$65*E61</f>
    </nc>
    <odxf>
      <font>
        <b val="0"/>
        <i val="0"/>
        <strike val="0"/>
        <condense val="0"/>
        <extend val="0"/>
        <outline val="0"/>
        <shadow val="0"/>
        <u val="none"/>
        <vertAlign val="baseline"/>
        <sz val="8"/>
        <color auto="1"/>
        <name val="Arial"/>
        <scheme val="none"/>
      </font>
      <numFmt numFmtId="174" formatCode="&quot;$&quot;#,##0_);[Red]\(&quot;$&quot;#,##0\);&quot;$&quot;\ \-"/>
      <alignment horizontal="general" vertical="bottom" textRotation="0" wrapText="0" indent="0" justifyLastLine="0" shrinkToFit="0" readingOrder="0"/>
      <border diagonalUp="0" diagonalDown="0" outline="0">
        <left/>
        <right/>
        <top/>
        <bottom/>
      </border>
      <protection locked="0" hidden="0"/>
    </odxf>
    <ndxf/>
  </rcc>
  <rcc rId="228" sId="14" odxf="1" s="1" dxf="1" numFmtId="14">
    <oc r="K61">
      <v>9.1899999999999996E-2</v>
    </oc>
    <nc r="K61">
      <v>8.7800000000000003E-2</v>
    </nc>
    <ndxf/>
  </rcc>
  <rfmt sheetId="14" s="1" sqref="L61" start="0" length="0">
    <dxf/>
  </rfmt>
  <rcc rId="229" sId="14" odxf="1" s="1" dxf="1" numFmtId="11">
    <oc r="O61">
      <v>2720140.3351123598</v>
    </oc>
    <nc r="O61">
      <f>K61*I61</f>
    </nc>
    <odxf>
      <font>
        <b val="0"/>
        <i val="0"/>
        <strike val="0"/>
        <condense val="0"/>
        <extend val="0"/>
        <outline val="0"/>
        <shadow val="0"/>
        <u val="none"/>
        <vertAlign val="baseline"/>
        <sz val="8"/>
        <color auto="1"/>
        <name val="Arial"/>
        <scheme val="none"/>
      </font>
      <numFmt numFmtId="174" formatCode="&quot;$&quot;#,##0_);[Red]\(&quot;$&quot;#,##0\);&quot;$&quot;\ \-"/>
      <alignment horizontal="general" vertical="bottom" textRotation="0" wrapText="0" indent="0" justifyLastLine="0" shrinkToFit="0" readingOrder="0"/>
      <border diagonalUp="0" diagonalDown="0" outline="0">
        <left/>
        <right/>
        <top/>
        <bottom/>
      </border>
      <protection locked="0" hidden="0"/>
    </odxf>
    <ndxf/>
  </rcc>
  <rfmt sheetId="14" s="1" sqref="E62" start="0" length="0">
    <dxf/>
  </rfmt>
  <rfmt sheetId="14" s="1" sqref="F62" start="0" length="0">
    <dxf/>
  </rfmt>
  <rcc rId="230" sId="14" odxf="1" s="1" dxf="1" numFmtId="11">
    <oc r="I62">
      <v>0</v>
    </oc>
    <nc r="I62">
      <f>$I$31*E62</f>
    </nc>
    <odxf>
      <font>
        <b val="0"/>
        <i val="0"/>
        <strike val="0"/>
        <condense val="0"/>
        <extend val="0"/>
        <outline val="0"/>
        <shadow val="0"/>
        <u val="none"/>
        <vertAlign val="baseline"/>
        <sz val="8"/>
        <color auto="1"/>
        <name val="Arial"/>
        <scheme val="none"/>
      </font>
      <numFmt numFmtId="174" formatCode="&quot;$&quot;#,##0_);[Red]\(&quot;$&quot;#,##0\);&quot;$&quot;\ \-"/>
      <alignment horizontal="general" vertical="bottom" textRotation="0" wrapText="0" indent="0" justifyLastLine="0" shrinkToFit="0" readingOrder="0"/>
      <border diagonalUp="0" diagonalDown="0" outline="0">
        <left/>
        <right/>
        <top/>
        <bottom style="thin">
          <color indexed="64"/>
        </bottom>
      </border>
      <protection locked="0" hidden="0"/>
    </odxf>
    <ndxf/>
  </rcc>
  <rfmt sheetId="14" s="1" sqref="K62" start="0" length="0">
    <dxf/>
  </rfmt>
  <rfmt sheetId="14" s="1" sqref="L62" start="0" length="0">
    <dxf/>
  </rfmt>
  <rcc rId="231" sId="14" odxf="1" s="1" dxf="1" numFmtId="11">
    <oc r="O62">
      <v>0</v>
    </oc>
    <nc r="O62">
      <f>K62*I62</f>
    </nc>
    <odxf>
      <font>
        <b val="0"/>
        <i val="0"/>
        <strike val="0"/>
        <condense val="0"/>
        <extend val="0"/>
        <outline val="0"/>
        <shadow val="0"/>
        <u val="none"/>
        <vertAlign val="baseline"/>
        <sz val="8"/>
        <color auto="1"/>
        <name val="Arial"/>
        <scheme val="none"/>
      </font>
      <numFmt numFmtId="174" formatCode="&quot;$&quot;#,##0_);[Red]\(&quot;$&quot;#,##0\);&quot;$&quot;\ \-"/>
      <alignment horizontal="general" vertical="bottom" textRotation="0" wrapText="0" indent="0" justifyLastLine="0" shrinkToFit="0" readingOrder="0"/>
      <border diagonalUp="0" diagonalDown="0" outline="0">
        <left/>
        <right/>
        <top/>
        <bottom style="thin">
          <color indexed="64"/>
        </bottom>
      </border>
      <protection locked="0" hidden="0"/>
    </odxf>
    <ndxf/>
  </rcc>
  <rcc rId="232" sId="14" odxf="1" s="1" dxf="1" numFmtId="14">
    <oc r="E63">
      <v>0.4</v>
    </oc>
    <nc r="E63">
      <f>SUM(E61:E62)</f>
    </nc>
    <odxf>
      <font>
        <b val="0"/>
        <i val="0"/>
        <strike val="0"/>
        <condense val="0"/>
        <extend val="0"/>
        <outline val="0"/>
        <shadow val="0"/>
        <u val="none"/>
        <vertAlign val="baseline"/>
        <sz val="8"/>
        <color auto="1"/>
        <name val="Arial"/>
        <scheme val="none"/>
      </font>
      <numFmt numFmtId="168" formatCode="0.0%"/>
      <border diagonalUp="0" diagonalDown="0" outline="0">
        <left/>
        <right/>
        <top style="thin">
          <color indexed="64"/>
        </top>
        <bottom style="double">
          <color indexed="64"/>
        </bottom>
      </border>
      <protection locked="0" hidden="0"/>
    </odxf>
    <ndxf/>
  </rcc>
  <rfmt sheetId="14" s="1" sqref="F63" start="0" length="0">
    <dxf/>
  </rfmt>
  <rfmt sheetId="14" s="1" sqref="G63" start="0" length="0">
    <dxf/>
  </rfmt>
  <rfmt sheetId="14" s="1" sqref="H63" start="0" length="0">
    <dxf/>
  </rfmt>
  <rcc rId="233" sId="14" odxf="1" s="1" dxf="1" numFmtId="11">
    <oc r="I63">
      <v>29598915.507207401</v>
    </oc>
    <nc r="I63">
      <f>SUM(I61:I62)</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style="thin">
          <color indexed="64"/>
        </top>
        <bottom style="double">
          <color indexed="64"/>
        </bottom>
      </border>
      <protection locked="0" hidden="0"/>
    </odxf>
    <ndxf/>
  </rcc>
  <rcc rId="234" sId="14" odxf="1" s="1" dxf="1">
    <oc r="K63">
      <v>9.1899999999999996E-2</v>
    </oc>
    <nc r="K63">
      <f>IF(E63=0,0,SUMPRODUCT(E61:E62,K61:K62)/E63)</f>
    </nc>
    <ndxf/>
  </rcc>
  <rfmt sheetId="14" s="1" sqref="L63" start="0" length="0">
    <dxf/>
  </rfmt>
  <rcc rId="235" sId="14" odxf="1" s="1" dxf="1" numFmtId="11">
    <oc r="O63">
      <v>2720140.3351123598</v>
    </oc>
    <nc r="O63">
      <f>SUM(O61:O62)</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style="thin">
          <color indexed="64"/>
        </top>
        <bottom style="double">
          <color indexed="64"/>
        </bottom>
      </border>
      <protection locked="0" hidden="0"/>
    </odxf>
    <ndxf/>
  </rcc>
  <rfmt sheetId="14" s="1" sqref="K64" start="0" length="0">
    <dxf/>
  </rfmt>
  <rfmt sheetId="14" s="1" sqref="L64" start="0" length="0">
    <dxf/>
  </rfmt>
  <rcc rId="236" sId="14" odxf="1" s="1" dxf="1" numFmtId="11">
    <oc r="I65">
      <v>73997288.768018499</v>
    </oc>
    <nc r="I65">
      <f>'R:\2017 Cost of Service\1.COS Models\BLG Models\Drafts\Revenue Requirement Model FINAL\[UPDATED 2017 Revenue Requirement  Model WITHOUT BUILDING.xlsx]Return on Capital'!$AD$39</f>
    </nc>
    <odxf>
      <font>
        <b val="0"/>
        <i val="0"/>
        <strike val="0"/>
        <condense val="0"/>
        <extend val="0"/>
        <outline val="0"/>
        <shadow val="0"/>
        <u val="none"/>
        <vertAlign val="baseline"/>
        <sz val="8"/>
        <color auto="1"/>
        <name val="Arial"/>
        <scheme val="none"/>
      </font>
      <numFmt numFmtId="174" formatCode="&quot;$&quot;#,##0_);[Red]\(&quot;$&quot;#,##0\);&quot;$&quot;\ \-"/>
      <fill>
        <patternFill patternType="solid">
          <fgColor indexed="64"/>
          <bgColor theme="6" tint="0.79998168889431442"/>
        </patternFill>
      </fill>
      <border diagonalUp="0" diagonalDown="0" outline="0">
        <left/>
        <right/>
        <top/>
        <bottom style="double">
          <color indexed="64"/>
        </bottom>
      </border>
      <protection locked="0" hidden="0"/>
    </odxf>
    <ndxf/>
  </rcc>
  <rcc rId="237" sId="14" odxf="1" s="1" dxf="1" numFmtId="14">
    <oc r="K65">
      <v>6.1433995648357484E-2</v>
    </oc>
    <nc r="K65">
      <f>(K58*E58)+(K63*E63)</f>
    </nc>
    <odxf>
      <font>
        <b val="0"/>
        <i val="0"/>
        <strike val="0"/>
        <condense val="0"/>
        <extend val="0"/>
        <outline val="0"/>
        <shadow val="0"/>
        <u val="none"/>
        <vertAlign val="baseline"/>
        <sz val="8"/>
        <color auto="1"/>
        <name val="Arial"/>
        <scheme val="none"/>
      </font>
      <numFmt numFmtId="14" formatCode="0.00%"/>
      <border diagonalUp="0" diagonalDown="0" outline="0">
        <left/>
        <right/>
        <top/>
        <bottom style="double">
          <color indexed="64"/>
        </bottom>
      </border>
      <protection locked="0" hidden="0"/>
    </odxf>
    <ndxf/>
  </rcc>
  <rfmt sheetId="14" s="1" sqref="L65" start="0" length="0">
    <dxf/>
  </rfmt>
  <rcc rId="238" sId="14" odxf="1" s="1" dxf="1" numFmtId="11">
    <oc r="O65">
      <v>4545949.1161647001</v>
    </oc>
    <nc r="O65">
      <f>O58+O63</f>
    </nc>
    <odxf>
      <font>
        <b val="0"/>
        <i val="0"/>
        <strike val="0"/>
        <condense val="0"/>
        <extend val="0"/>
        <outline val="0"/>
        <shadow val="0"/>
        <u val="none"/>
        <vertAlign val="baseline"/>
        <sz val="8"/>
        <color auto="1"/>
        <name val="Arial"/>
        <scheme val="none"/>
      </font>
      <numFmt numFmtId="174" formatCode="&quot;$&quot;#,##0_);[Red]\(&quot;$&quot;#,##0\);&quot;$&quot;\ \-"/>
      <border diagonalUp="0" diagonalDown="0" outline="0">
        <left/>
        <right/>
        <top/>
        <bottom style="double">
          <color indexed="64"/>
        </bottom>
      </border>
      <protection locked="0" hidden="0"/>
    </odxf>
    <ndxf/>
  </rcc>
  <rcv guid="{957A2981-C0FE-4A89-90AC-F40944F7258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14">
    <oc r="I65">
      <f>'R:\2017 Cost of Service\1.COS Models\BLG Models\Drafts\Revenue Requirement Model FINAL\[UPDATED 2017 Revenue Requirement  Model WITHOUT BUILDING.xlsx]Return on Capital'!$AD$39</f>
    </oc>
    <nc r="I65">
      <f>'R:\2017 Cost of Service\Settlement Proposal\Update Cost of Power\Cost of Capital Changes\[2017 Revenue Requirement  Model 10282016.xlsx]Return on Capital'!$AD$39</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 sId="6" numFmtId="34">
    <oc r="C25">
      <v>205362</v>
    </oc>
    <nc r="C25">
      <v>199574</v>
    </nc>
  </rcc>
  <rcc rId="241" sId="6" numFmtId="34">
    <oc r="C26">
      <v>691054</v>
    </oc>
    <nc r="C26">
      <v>538734</v>
    </nc>
  </rcc>
  <rcc rId="242" sId="6" numFmtId="34">
    <oc r="C28">
      <v>1231615</v>
    </oc>
    <nc r="C28">
      <v>1205568</v>
    </nc>
  </rcc>
  <rcc rId="243" sId="6" numFmtId="34">
    <oc r="C29">
      <v>525025</v>
    </oc>
    <nc r="C29">
      <v>498978</v>
    </nc>
  </rcc>
  <rcc rId="244" sId="6" numFmtId="34">
    <oc r="C41">
      <v>425000</v>
    </oc>
    <nc r="C41">
      <v>325000</v>
    </nc>
  </rcc>
  <rcc rId="245" sId="6" numFmtId="34">
    <oc r="C55">
      <v>4151982</v>
    </oc>
    <nc r="C55">
      <f>SUM(C17:C54)</f>
    </nc>
  </rcc>
  <rcc rId="246" sId="6" numFmtId="34">
    <oc r="C51">
      <v>90760</v>
    </oc>
    <nc r="C51">
      <v>77968</v>
    </nc>
  </rcc>
  <rcc rId="247" sId="4">
    <oc r="AU57">
      <v>3596697.4600000004</v>
    </oc>
    <nc r="AU57">
      <f>SUM(AU17:AU55)</f>
    </nc>
  </rcc>
  <rcc rId="248" sId="5" numFmtId="34">
    <oc r="C26">
      <v>638124</v>
    </oc>
    <nc r="C26">
      <v>759070</v>
    </nc>
  </rcc>
  <rcc rId="249" sId="5" numFmtId="34">
    <oc r="C28">
      <v>864421.5</v>
    </oc>
    <nc r="C28">
      <v>756107.5</v>
    </nc>
  </rcc>
  <rcc rId="250" sId="5" numFmtId="34">
    <oc r="C54">
      <v>-479000</v>
    </oc>
    <nc r="C54">
      <v>-512884</v>
    </nc>
  </rcc>
  <rcc rId="251" sId="5" numFmtId="34">
    <oc r="G26">
      <v>273963.68372222228</v>
    </oc>
    <nc r="G26">
      <v>270530.16372222226</v>
    </nc>
  </rcc>
  <rcc rId="252" sId="5" numFmtId="34">
    <oc r="G28">
      <v>674067.86757142865</v>
    </oc>
    <nc r="G28">
      <v>675640.99757142866</v>
    </nc>
  </rcc>
  <rcc rId="253" sId="5" numFmtId="34">
    <oc r="G54">
      <v>-142237.31</v>
    </oc>
    <nc r="G54">
      <v>-141811</v>
    </nc>
  </rcc>
  <rcc rId="254" sId="5" numFmtId="34">
    <oc r="F26">
      <v>269856.4807645618</v>
    </oc>
    <nc r="F26">
      <v>273009.36252099159</v>
    </nc>
  </rcc>
  <rcc rId="255" sId="5" numFmtId="34">
    <oc r="F28">
      <v>677777.94598730851</v>
    </oc>
    <nc r="F28">
      <v>676204.52936906333</v>
    </nc>
  </rcc>
  <rcc rId="256" sId="5" numFmtId="34">
    <oc r="F54">
      <v>-141629.11367848818</v>
    </oc>
    <nc r="F54">
      <v>-142060.75699059007</v>
    </nc>
  </rcc>
  <rcc rId="257" sId="5" numFmtId="34">
    <oc r="F57">
      <v>3295003.7156543136</v>
    </oc>
    <nc r="F57">
      <f>F55</f>
    </nc>
  </rcc>
  <rcc rId="258" sId="5" odxf="1" dxf="1" numFmtId="34">
    <oc r="H17">
      <v>6849.7199999999721</v>
    </oc>
    <nc r="H17">
      <f>IF(ISERROR(+F17-G17), 0, +F17-G17)</f>
    </nc>
    <odxf/>
    <ndxf/>
  </rcc>
  <rcc rId="259" sId="5" odxf="1" dxf="1" numFmtId="34">
    <oc r="I17">
      <v>177319</v>
    </oc>
    <nc r="I17">
      <f>IF(D17=0,0,+(C17)/D17)</f>
    </nc>
    <odxf/>
    <ndxf/>
  </rcc>
  <rcc rId="260" sId="5" odxf="1" dxf="1" numFmtId="34">
    <oc r="H18">
      <v>2.2737367544323206E-13</v>
    </oc>
    <nc r="H18">
      <f>IF(ISERROR(+F18-G18), 0, +F18-G18)</f>
    </nc>
    <odxf/>
    <ndxf/>
  </rcc>
  <rcc rId="261" sId="5" odxf="1" dxf="1" numFmtId="34">
    <oc r="I18">
      <v>0</v>
    </oc>
    <nc r="I18">
      <f>IF(D18=0,0,+(C18)/D18)</f>
    </nc>
    <odxf/>
    <ndxf/>
  </rcc>
  <rcc rId="262" sId="5" odxf="1" dxf="1" numFmtId="34">
    <oc r="H19">
      <v>0</v>
    </oc>
    <nc r="H19">
      <f>IF(ISERROR(+F19-G19), 0, +F19-G19)</f>
    </nc>
    <odxf/>
    <ndxf/>
  </rcc>
  <rcc rId="263" sId="5" odxf="1" dxf="1" numFmtId="34">
    <oc r="I19">
      <v>0</v>
    </oc>
    <nc r="I19">
      <f>IF(D19=0,0,+(C19)/D19)</f>
    </nc>
    <odxf/>
    <ndxf/>
  </rcc>
  <rcc rId="264" sId="5" odxf="1" dxf="1" numFmtId="34">
    <oc r="H20">
      <v>0.99999999999636202</v>
    </oc>
    <nc r="H20">
      <f>IF(ISERROR(+F20-G20), 0, +F20-G20)</f>
    </nc>
    <odxf/>
    <ndxf/>
  </rcc>
  <rcc rId="265" sId="5" odxf="1" dxf="1" numFmtId="34">
    <oc r="I20">
      <v>0</v>
    </oc>
    <nc r="I20">
      <f>IF(D20=0,0,+(C20)/D20)</f>
    </nc>
    <odxf/>
    <ndxf/>
  </rcc>
  <rcc rId="266" sId="5" odxf="1" dxf="1" numFmtId="34">
    <oc r="H21">
      <v>0</v>
    </oc>
    <nc r="H21">
      <f>IF(ISERROR(+F21-G21), 0, +F21-G21)</f>
    </nc>
    <odxf/>
    <ndxf/>
  </rcc>
  <rcc rId="267" sId="5" odxf="1" dxf="1" numFmtId="34">
    <oc r="I21">
      <v>0</v>
    </oc>
    <nc r="I21">
      <f>IF(D21=0,0,+(C21)/D21)</f>
    </nc>
    <odxf/>
    <ndxf/>
  </rcc>
  <rcc rId="268" sId="5" odxf="1" dxf="1" numFmtId="34">
    <oc r="H22">
      <v>7585.6911111111112</v>
    </oc>
    <nc r="H22">
      <f>IF(ISERROR(+F22-G22), 0, +F22-G22)</f>
    </nc>
    <odxf/>
    <ndxf/>
  </rcc>
  <rcc rId="269" sId="5" odxf="1" dxf="1" numFmtId="34">
    <oc r="I22">
      <v>0</v>
    </oc>
    <nc r="I22">
      <f>IF(D22=0,0,+(C22)/D22)</f>
    </nc>
    <odxf/>
    <ndxf/>
  </rcc>
  <rcc rId="270" sId="5" odxf="1" dxf="1" numFmtId="34">
    <oc r="H23">
      <v>-39207.504333333338</v>
    </oc>
    <nc r="H23">
      <f>IF(ISERROR(+F23-G23), 0, +F23-G23)</f>
    </nc>
    <odxf/>
    <ndxf/>
  </rcc>
  <rcc rId="271" sId="5" odxf="1" dxf="1" numFmtId="34">
    <oc r="I23">
      <v>0</v>
    </oc>
    <nc r="I23">
      <f>IF(D23=0,0,+(C23)/D23)</f>
    </nc>
    <odxf/>
    <ndxf/>
  </rcc>
  <rcc rId="272" sId="5" odxf="1" dxf="1" numFmtId="34">
    <oc r="H24">
      <v>0</v>
    </oc>
    <nc r="H24">
      <f>IF(ISERROR(+F24-G24), 0, +F24-G24)</f>
    </nc>
    <odxf/>
    <ndxf/>
  </rcc>
  <rcc rId="273" sId="5" odxf="1" dxf="1" numFmtId="34">
    <oc r="I24">
      <v>0</v>
    </oc>
    <nc r="I24">
      <f>IF(D24=0,0,+(C24)/D24)</f>
    </nc>
    <odxf/>
    <ndxf/>
  </rcc>
  <rcc rId="274" sId="5" odxf="1" dxf="1" numFmtId="34">
    <oc r="H25">
      <v>36934.395444955095</v>
    </oc>
    <nc r="H25">
      <f>IF(ISERROR(+F25-G25), 0, +F25-G25)</f>
    </nc>
    <odxf/>
    <ndxf/>
  </rcc>
  <rcc rId="275" sId="5" odxf="1" dxf="1" numFmtId="34">
    <oc r="I25">
      <v>8025.9086538461543</v>
    </oc>
    <nc r="I25">
      <f>IF(D25=0,0,+(C25)/D25)</f>
    </nc>
    <odxf/>
    <ndxf/>
  </rcc>
  <rcc rId="276" sId="5" odxf="1" dxf="1" numFmtId="34">
    <oc r="H26">
      <v>-4107.2029576604837</v>
    </oc>
    <nc r="H26">
      <f>IF(ISERROR(+F26-G26), 0, +F26-G26)</f>
    </nc>
    <odxf/>
    <ndxf/>
  </rcc>
  <rcc rId="277" sId="5" odxf="1" dxf="1" numFmtId="34">
    <oc r="I26">
      <v>33269.881069899107</v>
    </oc>
    <nc r="I26">
      <f>IF(D26=0,0,+(C26)/D26)</f>
    </nc>
    <odxf/>
    <ndxf/>
  </rcc>
  <rcc rId="278" sId="5" odxf="1" dxf="1" numFmtId="34">
    <oc r="H27">
      <v>-5142.4874909188366</v>
    </oc>
    <nc r="H27">
      <f>IF(ISERROR(+F27-G27), 0, +F27-G27)</f>
    </nc>
    <odxf/>
    <ndxf/>
  </rcc>
  <rcc rId="279" sId="5" odxf="1" dxf="1" numFmtId="34">
    <oc r="I27">
      <v>2125</v>
    </oc>
    <nc r="I27">
      <f>IF(D27=0,0,+(C27)/D27)</f>
    </nc>
    <odxf/>
    <ndxf/>
  </rcc>
  <rcc rId="280" sId="5" odxf="1" dxf="1" numFmtId="34">
    <oc r="H28">
      <v>3710.0784158798633</v>
    </oc>
    <nc r="H28">
      <f>IF(ISERROR(+F28-G28), 0, +F28-G28)</f>
    </nc>
    <odxf/>
    <ndxf/>
  </rcc>
  <rcc rId="281" sId="5" odxf="1" dxf="1" numFmtId="34">
    <oc r="I28">
      <v>25113.930854154562</v>
    </oc>
    <nc r="I28">
      <f>IF(D28=0,0,+(C28)/D28)</f>
    </nc>
    <odxf/>
    <ndxf/>
  </rcc>
  <rcc rId="282" sId="5" odxf="1" dxf="1" numFmtId="34">
    <oc r="H29">
      <v>-5925.9142482876778</v>
    </oc>
    <nc r="H29">
      <f>IF(ISERROR(+F29-G29), 0, +F29-G29)</f>
    </nc>
    <odxf/>
    <ndxf/>
  </rcc>
  <rcc rId="283" sId="5" odxf="1" dxf="1" numFmtId="34">
    <oc r="I29">
      <v>12823.602632245002</v>
    </oc>
    <nc r="I29">
      <f>IF(D29=0,0,+(C29)/D29)</f>
    </nc>
    <odxf/>
    <ndxf/>
  </rcc>
  <rcc rId="284" sId="5" odxf="1" dxf="1" numFmtId="34">
    <oc r="H30">
      <v>-126.42440000000352</v>
    </oc>
    <nc r="H30">
      <f>IF(ISERROR(+F30-G30), 0, +F30-G30)</f>
    </nc>
    <odxf/>
    <ndxf/>
  </rcc>
  <rcc rId="285" sId="5" odxf="1" dxf="1" numFmtId="34">
    <oc r="I30">
      <v>7271.08</v>
    </oc>
    <nc r="I30">
      <f>IF(D30=0,0,+(C30)/D30)</f>
    </nc>
    <odxf/>
    <ndxf/>
  </rcc>
  <rcc rId="286" sId="5" odxf="1" dxf="1" numFmtId="34">
    <oc r="H31">
      <v>8826.4761629901186</v>
    </oc>
    <nc r="H31">
      <f>IF(ISERROR(+F31-G31), 0, +F31-G31)</f>
    </nc>
    <odxf/>
    <ndxf/>
  </rcc>
  <rcc rId="287" sId="5" odxf="1" dxf="1" numFmtId="34">
    <oc r="I31">
      <v>2891.1612903225805</v>
    </oc>
    <nc r="I31">
      <f>IF(D31=0,0,+(C31)/D31)</f>
    </nc>
    <odxf/>
    <ndxf/>
  </rcc>
  <rcc rId="288" sId="5" odxf="1" dxf="1" numFmtId="34">
    <oc r="H32">
      <v>4142</v>
    </oc>
    <nc r="H32">
      <f>IF(ISERROR(+F32-G32), 0, +F32-G32)</f>
    </nc>
    <odxf/>
    <ndxf/>
  </rcc>
  <rcc rId="289" sId="5" odxf="1" dxf="1" numFmtId="34">
    <oc r="I32">
      <v>0</v>
    </oc>
    <nc r="I32">
      <f>IF(D32=0,0,+(C32)/D32)</f>
    </nc>
    <odxf/>
    <ndxf/>
  </rcc>
  <rcc rId="290" sId="5" odxf="1" dxf="1" numFmtId="34">
    <oc r="H33">
      <v>0</v>
    </oc>
    <nc r="H33">
      <f>IF(ISERROR(+F33-G33), 0, +F33-G33)</f>
    </nc>
    <odxf/>
    <ndxf/>
  </rcc>
  <rcc rId="291" sId="5" odxf="1" dxf="1" numFmtId="34">
    <oc r="I33">
      <v>0</v>
    </oc>
    <nc r="I33">
      <f>IF(D33=0,0,+(C33)/D33)</f>
    </nc>
    <odxf/>
    <ndxf/>
  </rcc>
  <rcc rId="292" sId="5" odxf="1" dxf="1" numFmtId="34">
    <oc r="H34">
      <v>0</v>
    </oc>
    <nc r="H34">
      <f>IF(ISERROR(+F34-G34), 0, +F34-G34)</f>
    </nc>
    <odxf/>
    <ndxf/>
  </rcc>
  <rcc rId="293" sId="5" odxf="1" dxf="1" numFmtId="34">
    <oc r="I34">
      <v>0</v>
    </oc>
    <nc r="I34">
      <f>IF(D34=0,0,+(C34)/D34)</f>
    </nc>
    <odxf/>
    <ndxf/>
  </rcc>
  <rcc rId="294" sId="5" odxf="1" dxf="1" numFmtId="34">
    <oc r="H35">
      <v>-2556.467333333334</v>
    </oc>
    <nc r="H35">
      <f>IF(ISERROR(+F35-G35), 0, +F35-G35)</f>
    </nc>
    <odxf/>
    <ndxf/>
  </rcc>
  <rcc rId="295" sId="5" odxf="1" dxf="1" numFmtId="34">
    <oc r="I35">
      <v>0</v>
    </oc>
    <nc r="I35">
      <f>IF(D35=0,0,+(C35)/D35)</f>
    </nc>
    <odxf/>
    <ndxf/>
  </rcc>
  <rcc rId="296" sId="5" odxf="1" dxf="1" numFmtId="34">
    <oc r="H36">
      <v>-23.974999999999909</v>
    </oc>
    <nc r="H36">
      <f>IF(ISERROR(+F36-G36), 0, +F36-G36)</f>
    </nc>
    <odxf/>
    <ndxf/>
  </rcc>
  <rcc rId="297" sId="5" odxf="1" dxf="1" numFmtId="34">
    <oc r="I36">
      <v>480</v>
    </oc>
    <nc r="I36">
      <f>IF(D36=0,0,+(C36)/D36)</f>
    </nc>
    <odxf/>
    <ndxf/>
  </rcc>
  <rcc rId="298" sId="5" odxf="1" dxf="1" numFmtId="34">
    <oc r="H37">
      <v>0</v>
    </oc>
    <nc r="H37">
      <f>IF(ISERROR(+F37-G37), 0, +F37-G37)</f>
    </nc>
    <odxf/>
    <ndxf/>
  </rcc>
  <rcc rId="299" sId="5" odxf="1" dxf="1" numFmtId="34">
    <oc r="I37">
      <v>0</v>
    </oc>
    <nc r="I37">
      <f>IF(D37=0,0,+(C37)/D37)</f>
    </nc>
    <odxf/>
    <ndxf/>
  </rcc>
  <rcc rId="300" sId="5" odxf="1" dxf="1" numFmtId="34">
    <oc r="H38">
      <v>0</v>
    </oc>
    <nc r="H38">
      <f>IF(ISERROR(+F38-G38), 0, +F38-G38)</f>
    </nc>
    <odxf/>
    <ndxf/>
  </rcc>
  <rcc rId="301" sId="5" odxf="1" dxf="1" numFmtId="34">
    <oc r="I38">
      <v>0</v>
    </oc>
    <nc r="I38">
      <f>IF(D38=0,0,+(C38)/D38)</f>
    </nc>
    <odxf/>
    <ndxf/>
  </rcc>
  <rcc rId="302" sId="5" odxf="1" dxf="1" numFmtId="34">
    <oc r="H39">
      <v>0</v>
    </oc>
    <nc r="H39">
      <f>IF(ISERROR(+F39-G39), 0, +F39-G39)</f>
    </nc>
    <odxf/>
    <ndxf/>
  </rcc>
  <rcc rId="303" sId="5" odxf="1" dxf="1" numFmtId="34">
    <oc r="I39">
      <v>0</v>
    </oc>
    <nc r="I39">
      <f>IF(D39=0,0,+(C39)/D39)</f>
    </nc>
    <odxf/>
    <ndxf/>
  </rcc>
  <rcc rId="304" sId="5" odxf="1" dxf="1" numFmtId="34">
    <oc r="H40">
      <v>3226.4050000000025</v>
    </oc>
    <nc r="H40">
      <f>IF(ISERROR(+F40-G40), 0, +F40-G40)</f>
    </nc>
    <odxf/>
    <ndxf/>
  </rcc>
  <rcc rId="305" sId="5" odxf="1" dxf="1" numFmtId="34">
    <oc r="I40">
      <v>21800</v>
    </oc>
    <nc r="I40">
      <f>IF(D40=0,0,+(C40)/D40)</f>
    </nc>
    <odxf/>
    <ndxf/>
  </rcc>
  <rcc rId="306" sId="5" odxf="1" dxf="1" numFmtId="34">
    <oc r="H41">
      <v>-2150.6079905874212</v>
    </oc>
    <nc r="H41">
      <f>IF(ISERROR(+F41-G41), 0, +F41-G41)</f>
    </nc>
    <odxf/>
    <ndxf/>
  </rcc>
  <rcc rId="307" sId="5" odxf="1" dxf="1" numFmtId="34">
    <oc r="I41">
      <v>41025.641025641024</v>
    </oc>
    <nc r="I41">
      <f>IF(D41=0,0,+(C41)/D41)</f>
    </nc>
    <odxf/>
    <ndxf/>
  </rcc>
  <rcc rId="308" sId="5" odxf="1" dxf="1" numFmtId="34">
    <oc r="H42">
      <v>0.42499999999995453</v>
    </oc>
    <nc r="H42">
      <f>IF(ISERROR(+F42-G42), 0, +F42-G42)</f>
    </nc>
    <odxf/>
    <ndxf/>
  </rcc>
  <rcc rId="309" sId="5" odxf="1" dxf="1" numFmtId="34">
    <oc r="I42">
      <v>0</v>
    </oc>
    <nc r="I42">
      <f>IF(D42=0,0,+(C42)/D42)</f>
    </nc>
    <odxf/>
    <ndxf/>
  </rcc>
  <rcc rId="310" sId="5" odxf="1" dxf="1" numFmtId="34">
    <oc r="H43">
      <v>673.62700000000405</v>
    </oc>
    <nc r="H43">
      <f>IF(ISERROR(+F43-G43), 0, +F43-G43)</f>
    </nc>
    <odxf/>
    <ndxf/>
  </rcc>
  <rcc rId="311" sId="5" odxf="1" dxf="1" numFmtId="34">
    <oc r="I43">
      <v>2500</v>
    </oc>
    <nc r="I43">
      <f>IF(D43=0,0,+(C43)/D43)</f>
    </nc>
    <odxf/>
    <ndxf/>
  </rcc>
  <rcc rId="312" sId="5" odxf="1" dxf="1" numFmtId="34">
    <oc r="H44">
      <v>-0.55099999999993088</v>
    </oc>
    <nc r="H44">
      <f>IF(ISERROR(+F44-G44), 0, +F44-G44)</f>
    </nc>
    <odxf/>
    <ndxf/>
  </rcc>
  <rcc rId="313" sId="5" odxf="1" dxf="1" numFmtId="34">
    <oc r="I44">
      <v>0</v>
    </oc>
    <nc r="I44">
      <f>IF(D44=0,0,+(C44)/D44)</f>
    </nc>
    <odxf/>
    <ndxf/>
  </rcc>
  <rcc rId="314" sId="5" odxf="1" dxf="1" numFmtId="34">
    <oc r="H45">
      <v>0</v>
    </oc>
    <nc r="H45">
      <f>IF(ISERROR(+F45-G45), 0, +F45-G45)</f>
    </nc>
    <odxf/>
    <ndxf/>
  </rcc>
  <rcc rId="315" sId="5" odxf="1" dxf="1" numFmtId="34">
    <oc r="I45">
      <v>0</v>
    </oc>
    <nc r="I45">
      <f>IF(D45=0,0,+(C45)/D45)</f>
    </nc>
    <odxf/>
    <ndxf/>
  </rcc>
  <rcc rId="316" sId="5" odxf="1" dxf="1" numFmtId="34">
    <oc r="H46">
      <v>-4536.4740000000002</v>
    </oc>
    <nc r="H46">
      <f>IF(ISERROR(+F46-G46), 0, +F46-G46)</f>
    </nc>
    <odxf/>
    <ndxf/>
  </rcc>
  <rcc rId="317" sId="5" odxf="1" dxf="1" numFmtId="34">
    <oc r="I46">
      <v>0</v>
    </oc>
    <nc r="I46">
      <f>IF(D46=0,0,+(C46)/D46)</f>
    </nc>
    <odxf/>
    <ndxf/>
  </rcc>
  <rcc rId="318" sId="5" odxf="1" dxf="1" numFmtId="34">
    <oc r="H47">
      <v>0</v>
    </oc>
    <nc r="H47">
      <f>IF(ISERROR(+F47-G47), 0, +F47-G47)</f>
    </nc>
    <odxf/>
    <ndxf/>
  </rcc>
  <rcc rId="319" sId="5" odxf="1" dxf="1" numFmtId="34">
    <oc r="I47">
      <v>0</v>
    </oc>
    <nc r="I47">
      <f>IF(D47=0,0,+(C47)/D47)</f>
    </nc>
    <odxf/>
    <ndxf/>
  </rcc>
  <rcc rId="320" sId="5" odxf="1" dxf="1" numFmtId="34">
    <oc r="H48">
      <v>0</v>
    </oc>
    <nc r="H48">
      <f>IF(ISERROR(+F48-G48), 0, +F48-G48)</f>
    </nc>
    <odxf/>
    <ndxf/>
  </rcc>
  <rcc rId="321" sId="5" odxf="1" dxf="1" numFmtId="34">
    <oc r="I48">
      <v>0</v>
    </oc>
    <nc r="I48">
      <f>IF(D48=0,0,+(C48)/D48)</f>
    </nc>
    <odxf/>
    <ndxf/>
  </rcc>
  <rcc rId="322" sId="5" odxf="1" dxf="1" numFmtId="34">
    <oc r="H49">
      <v>0</v>
    </oc>
    <nc r="H49">
      <f>IF(ISERROR(+F49-G49), 0, +F49-G49)</f>
    </nc>
    <odxf/>
    <ndxf/>
  </rcc>
  <rcc rId="323" sId="5" odxf="1" dxf="1" numFmtId="34">
    <oc r="I49">
      <v>0</v>
    </oc>
    <nc r="I49">
      <f>IF(D49=0,0,+(C49)/D49)</f>
    </nc>
    <odxf/>
    <ndxf/>
  </rcc>
  <rcc rId="324" sId="5" odxf="1" dxf="1" numFmtId="34">
    <oc r="H50">
      <v>0</v>
    </oc>
    <nc r="H50">
      <f>IF(ISERROR(+F50-G50), 0, +F50-G50)</f>
    </nc>
    <odxf/>
    <ndxf/>
  </rcc>
  <rcc rId="325" sId="5" odxf="1" dxf="1" numFmtId="34">
    <oc r="I50">
      <v>0</v>
    </oc>
    <nc r="I50">
      <f>IF(D50=0,0,+(C50)/D50)</f>
    </nc>
    <odxf/>
    <ndxf/>
  </rcc>
  <rcc rId="326" sId="5" odxf="1" dxf="1" numFmtId="34">
    <oc r="H51">
      <v>-0.29566666667233221</v>
    </oc>
    <nc r="H51">
      <f>IF(ISERROR(+F51-G51), 0, +F51-G51)</f>
    </nc>
    <odxf/>
    <ndxf/>
  </rcc>
  <rcc rId="327" sId="5" odxf="1" dxf="1" numFmtId="34">
    <oc r="I51">
      <v>5955.79</v>
    </oc>
    <nc r="I51">
      <f>IF(D51=0,0,+(C51)/D51)</f>
    </nc>
    <odxf/>
    <ndxf/>
  </rcc>
  <rcc rId="328" sId="5" odxf="1" dxf="1" numFmtId="34">
    <oc r="H52">
      <v>0</v>
    </oc>
    <nc r="H52">
      <f>IF(ISERROR(+F52-G52), 0, +F52-G52)</f>
    </nc>
    <odxf/>
    <ndxf/>
  </rcc>
  <rcc rId="329" sId="5" odxf="1" dxf="1" numFmtId="34">
    <oc r="I52">
      <v>0</v>
    </oc>
    <nc r="I52">
      <f>IF(D52=0,0,+(C52)/D52)</f>
    </nc>
    <odxf/>
    <ndxf/>
  </rcc>
  <rcc rId="330" sId="5" odxf="1" dxf="1" numFmtId="34">
    <oc r="H53">
      <v>0</v>
    </oc>
    <nc r="H53">
      <f>IF(ISERROR(+F53-G53), 0, +F53-G53)</f>
    </nc>
    <odxf/>
    <ndxf/>
  </rcc>
  <rcc rId="331" sId="5" odxf="1" dxf="1" numFmtId="34">
    <oc r="I53">
      <v>0</v>
    </oc>
    <nc r="I53">
      <f>IF(D53=0,0,+(C53)/D53)</f>
    </nc>
    <odxf/>
    <ndxf/>
  </rcc>
  <rcc rId="332" sId="5" odxf="1" dxf="1" numFmtId="34">
    <oc r="H54">
      <v>608.19632151181577</v>
    </oc>
    <nc r="H54">
      <f>IF(ISERROR(+F54-G54), 0, +F54-G54)</f>
    </nc>
    <odxf/>
    <ndxf/>
  </rcc>
  <rcc rId="333" sId="5" odxf="1" dxf="1" numFmtId="34">
    <oc r="I54">
      <v>-12203.821656050955</v>
    </oc>
    <nc r="I54">
      <f>IF(D54=0,0,+(C54)/D54)</f>
    </nc>
    <odxf/>
    <ndxf/>
  </rcc>
  <rcc rId="334" sId="6" numFmtId="34">
    <oc r="F55">
      <v>3544728.0071463455</v>
    </oc>
    <nc r="F55">
      <f>SUM(F17:F54)</f>
    </nc>
  </rcc>
  <rcc rId="335" sId="6" numFmtId="34">
    <oc r="G55">
      <v>3503506.2217725003</v>
    </oc>
    <nc r="G55">
      <f>SUM(G17:G54)</f>
    </nc>
  </rcc>
  <rcc rId="336" sId="6">
    <oc r="H55">
      <v>41221.785373845363</v>
    </oc>
    <nc r="H55">
      <f>SUM(H17:H54)</f>
    </nc>
  </rcc>
  <rcc rId="337" sId="5" numFmtId="34">
    <oc r="C55">
      <v>3617949.4600000004</v>
    </oc>
    <nc r="C55">
      <f>SUM(C17:C54)</f>
    </nc>
  </rcc>
  <rcc rId="338" sId="5">
    <oc r="F55">
      <v>3295003.7156543136</v>
    </oc>
    <nc r="F55">
      <f>SUM(F17:F54)</f>
    </nc>
  </rcc>
  <rcc rId="339" sId="5">
    <oc r="G55">
      <v>3286223.6056186543</v>
    </oc>
    <nc r="G55">
      <f>SUM(G17:G54)</f>
    </nc>
  </rcc>
  <rcc rId="340" sId="5">
    <oc r="H55">
      <v>8780.110035660211</v>
    </oc>
    <nc r="H55">
      <f>SUM(H17:H54)</f>
    </nc>
  </rcc>
  <rcc rId="341" sId="5">
    <oc r="I55">
      <v>328397.17387005745</v>
    </oc>
    <nc r="I55">
      <f>SUM(I17:I54)</f>
    </nc>
  </rcc>
  <rcc rId="342" sId="5">
    <oc r="J55">
      <v>88477.693333333344</v>
    </oc>
    <nc r="J55">
      <f>SUM(J17:J54)</f>
    </nc>
  </rcc>
  <rcc rId="343" sId="5">
    <oc r="K55">
      <v>3370724.6092560096</v>
    </oc>
    <nc r="K55">
      <f>SUM(K17:K54)</f>
    </nc>
  </rcc>
  <rcv guid="{957A2981-C0FE-4A89-90AC-F40944F7258F}" action="delete"/>
  <rcv guid="{957A2981-C0FE-4A89-90AC-F40944F7258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 sId="5" numFmtId="34">
    <oc r="G54">
      <v>-141811</v>
    </oc>
    <nc r="G54">
      <v>-142237</v>
    </nc>
  </rcc>
  <rcc rId="345" sId="5" numFmtId="34">
    <oc r="G28">
      <v>675640.99757142866</v>
    </oc>
    <nc r="G28">
      <v>674067.867571429</v>
    </nc>
  </rcc>
  <rcc rId="346" sId="5" numFmtId="34">
    <oc r="G25">
      <v>386588.91716666665</v>
    </oc>
    <nc r="G25">
      <v>386588.917166667</v>
    </nc>
  </rcc>
  <rcc rId="347" sId="5" numFmtId="34">
    <oc r="G26">
      <v>270530.16372222226</v>
    </oc>
    <nc r="G26">
      <v>273963.68372222199</v>
    </nc>
  </rcc>
  <rcc rId="348" sId="5" odxf="1" dxf="1" numFmtId="34">
    <oc r="K17">
      <v>258941.62</v>
    </oc>
    <nc r="K17">
      <f>IF(ISERROR(+I17+'\\domain2\infrastructure\Users\zingarov\Desktop\[Updated 2016_Filing_Requirements_Chapter2_Appendices.xlsm]App.2-CJ MIFRS_DepExp_2015'!K17-J17), 0, +I17+'\\domain2\infrastructure\Users\zingarov\Desktop\[Updated 2016_Filing_Requirements_Chapter2_Appendices.xlsm]App.2-CJ MIFRS_DepExp_2015'!K17-J17)</f>
    </nc>
    <odxf/>
    <ndxf/>
  </rcc>
  <rcc rId="349" sId="5" odxf="1" dxf="1" numFmtId="34">
    <oc r="K18">
      <v>2034.5000000000002</v>
    </oc>
    <nc r="K18">
      <f>IF(ISERROR(+I18+'\\domain2\infrastructure\Users\zingarov\Desktop\[Updated 2016_Filing_Requirements_Chapter2_Appendices.xlsm]App.2-CJ MIFRS_DepExp_2015'!K18-J18), 0, +I18+'\\domain2\infrastructure\Users\zingarov\Desktop\[Updated 2016_Filing_Requirements_Chapter2_Appendices.xlsm]App.2-CJ MIFRS_DepExp_2015'!K18-J18)</f>
    </nc>
    <odxf/>
    <ndxf/>
  </rcc>
  <rcc rId="350" sId="5" odxf="1" dxf="1" numFmtId="34">
    <oc r="K19">
      <v>0</v>
    </oc>
    <nc r="K19">
      <f>IF(ISERROR(+I19+'\\domain2\infrastructure\Users\zingarov\Desktop\[Updated 2016_Filing_Requirements_Chapter2_Appendices.xlsm]App.2-CJ MIFRS_DepExp_2015'!K19-J19), 0, +I19+'\\domain2\infrastructure\Users\zingarov\Desktop\[Updated 2016_Filing_Requirements_Chapter2_Appendices.xlsm]App.2-CJ MIFRS_DepExp_2015'!K19-J19)</f>
    </nc>
    <odxf/>
    <ndxf/>
  </rcc>
  <rcc rId="351" sId="5" odxf="1" dxf="1" numFmtId="34">
    <oc r="K20">
      <v>27623.999999999996</v>
    </oc>
    <nc r="K20">
      <f>IF(ISERROR(+I20+'\\domain2\infrastructure\Users\zingarov\Desktop\[Updated 2016_Filing_Requirements_Chapter2_Appendices.xlsm]App.2-CJ MIFRS_DepExp_2015'!K20-J20), 0, +I20+'\\domain2\infrastructure\Users\zingarov\Desktop\[Updated 2016_Filing_Requirements_Chapter2_Appendices.xlsm]App.2-CJ MIFRS_DepExp_2015'!K20-J20)</f>
    </nc>
    <odxf/>
    <ndxf/>
  </rcc>
  <rcc rId="352" sId="5" odxf="1" dxf="1" numFmtId="34">
    <oc r="K21">
      <v>0</v>
    </oc>
    <nc r="K21">
      <f>IF(ISERROR(+I21+'\\domain2\infrastructure\Users\zingarov\Desktop\[Updated 2016_Filing_Requirements_Chapter2_Appendices.xlsm]App.2-CJ MIFRS_DepExp_2015'!K21-J21), 0, +I21+'\\domain2\infrastructure\Users\zingarov\Desktop\[Updated 2016_Filing_Requirements_Chapter2_Appendices.xlsm]App.2-CJ MIFRS_DepExp_2015'!K21-J21)</f>
    </nc>
    <odxf/>
    <ndxf/>
  </rcc>
  <rcc rId="353" sId="5" odxf="1" dxf="1" numFmtId="34">
    <oc r="K22">
      <v>121190.07333333333</v>
    </oc>
    <nc r="K22">
      <f>IF(ISERROR(+I22+'\\domain2\infrastructure\Users\zingarov\Desktop\[Updated 2016_Filing_Requirements_Chapter2_Appendices.xlsm]App.2-CJ MIFRS_DepExp_2015'!K22-J22), 0, +I22+'\\domain2\infrastructure\Users\zingarov\Desktop\[Updated 2016_Filing_Requirements_Chapter2_Appendices.xlsm]App.2-CJ MIFRS_DepExp_2015'!K22-J22)</f>
    </nc>
    <odxf/>
    <ndxf/>
  </rcc>
  <rcc rId="354" sId="5" odxf="1" dxf="1" numFmtId="34">
    <oc r="K23">
      <v>-38995.504333333338</v>
    </oc>
    <nc r="K23">
      <f>IF(ISERROR(+I23+'\\domain2\infrastructure\Users\zingarov\Desktop\[Updated 2016_Filing_Requirements_Chapter2_Appendices.xlsm]App.2-CJ MIFRS_DepExp_2015'!K23-J23), 0, +I23+'\\domain2\infrastructure\Users\zingarov\Desktop\[Updated 2016_Filing_Requirements_Chapter2_Appendices.xlsm]App.2-CJ MIFRS_DepExp_2015'!K23-J23)</f>
    </nc>
    <odxf/>
    <ndxf/>
  </rcc>
  <rcc rId="355" sId="5" odxf="1" dxf="1" numFmtId="34">
    <oc r="K24">
      <v>0</v>
    </oc>
    <nc r="K24">
      <f>IF(ISERROR(+I24+'\\domain2\infrastructure\Users\zingarov\Desktop\[Updated 2016_Filing_Requirements_Chapter2_Appendices.xlsm]App.2-CJ MIFRS_DepExp_2015'!K24-J24), 0, +I24+'\\domain2\infrastructure\Users\zingarov\Desktop\[Updated 2016_Filing_Requirements_Chapter2_Appendices.xlsm]App.2-CJ MIFRS_DepExp_2015'!K24-J24)</f>
    </nc>
    <odxf/>
    <ndxf/>
  </rcc>
  <rcc rId="356" sId="5" odxf="1" dxf="1" numFmtId="34">
    <oc r="K25">
      <v>410750.61693854479</v>
    </oc>
    <nc r="K25">
      <f>IF(ISERROR(+I25+'\\domain2\infrastructure\Users\zingarov\Desktop\[Updated 2016_Filing_Requirements_Chapter2_Appendices.xlsm]App.2-CJ MIFRS_DepExp_2015'!K25-J25), 0, +I25+'\\domain2\infrastructure\Users\zingarov\Desktop\[Updated 2016_Filing_Requirements_Chapter2_Appendices.xlsm]App.2-CJ MIFRS_DepExp_2015'!K25-J25)</f>
    </nc>
    <odxf/>
    <ndxf/>
  </rcc>
  <rcc rId="357" sId="5" odxf="1" dxf="1" numFmtId="34">
    <oc r="K26">
      <v>283714.42129951133</v>
    </oc>
    <nc r="K26">
      <f>IF(ISERROR(+I26+'\\domain2\infrastructure\Users\zingarov\Desktop\[Updated 2016_Filing_Requirements_Chapter2_Appendices.xlsm]App.2-CJ MIFRS_DepExp_2015'!K26-J26), 0, +I26+'\\domain2\infrastructure\Users\zingarov\Desktop\[Updated 2016_Filing_Requirements_Chapter2_Appendices.xlsm]App.2-CJ MIFRS_DepExp_2015'!K26-J26)</f>
    </nc>
    <odxf/>
    <ndxf/>
  </rcc>
  <rcc rId="358" sId="5" odxf="1" dxf="1" numFmtId="34">
    <oc r="K27">
      <v>241285.85355453572</v>
    </oc>
    <nc r="K27">
      <f>IF(ISERROR(+I27+'\\domain2\infrastructure\Users\zingarov\Desktop\[Updated 2016_Filing_Requirements_Chapter2_Appendices.xlsm]App.2-CJ MIFRS_DepExp_2015'!K27-J27), 0, +I27+'\\domain2\infrastructure\Users\zingarov\Desktop\[Updated 2016_Filing_Requirements_Chapter2_Appendices.xlsm]App.2-CJ MIFRS_DepExp_2015'!K27-J27)</f>
    </nc>
    <odxf/>
    <ndxf/>
  </rcc>
  <rcc rId="359" sId="5" odxf="1" dxf="1" numFmtId="34">
    <oc r="K28">
      <v>671887.98141438572</v>
    </oc>
    <nc r="K28">
      <f>IF(ISERROR(+I28+'\\domain2\infrastructure\Users\zingarov\Desktop\[Updated 2016_Filing_Requirements_Chapter2_Appendices.xlsm]App.2-CJ MIFRS_DepExp_2015'!K28-J28), 0, +I28+'\\domain2\infrastructure\Users\zingarov\Desktop\[Updated 2016_Filing_Requirements_Chapter2_Appendices.xlsm]App.2-CJ MIFRS_DepExp_2015'!K28-J28)</f>
    </nc>
    <odxf/>
    <ndxf/>
  </rcc>
  <rcc rId="360" sId="5" odxf="1" dxf="1" numFmtId="34">
    <oc r="K29">
      <v>485891.32722259674</v>
    </oc>
    <nc r="K29">
      <f>IF(ISERROR(+I29+'\\domain2\infrastructure\Users\zingarov\Desktop\[Updated 2016_Filing_Requirements_Chapter2_Appendices.xlsm]App.2-CJ MIFRS_DepExp_2015'!K29-J29), 0, +I29+'\\domain2\infrastructure\Users\zingarov\Desktop\[Updated 2016_Filing_Requirements_Chapter2_Appendices.xlsm]App.2-CJ MIFRS_DepExp_2015'!K29-J29)</f>
    </nc>
    <odxf/>
    <ndxf/>
  </rcc>
  <rcc rId="361" sId="5" odxf="1" dxf="1" numFmtId="34">
    <oc r="K30">
      <v>88598.084800000011</v>
    </oc>
    <nc r="K30">
      <f>IF(ISERROR(+I30+'\\domain2\infrastructure\Users\zingarov\Desktop\[Updated 2016_Filing_Requirements_Chapter2_Appendices.xlsm]App.2-CJ MIFRS_DepExp_2015'!K30-J30), 0, +I30+'\\domain2\infrastructure\Users\zingarov\Desktop\[Updated 2016_Filing_Requirements_Chapter2_Appendices.xlsm]App.2-CJ MIFRS_DepExp_2015'!K30-J30)</f>
    </nc>
    <odxf/>
    <ndxf/>
  </rcc>
  <rcc rId="362" sId="5" odxf="1" dxf="1" numFmtId="34">
    <oc r="K31">
      <v>249802.82374148475</v>
    </oc>
    <nc r="K31">
      <f>IF(ISERROR(+I31+'\\domain2\infrastructure\Users\zingarov\Desktop\[Updated 2016_Filing_Requirements_Chapter2_Appendices.xlsm]App.2-CJ MIFRS_DepExp_2015'!K31-J31), 0, +I31+'\\domain2\infrastructure\Users\zingarov\Desktop\[Updated 2016_Filing_Requirements_Chapter2_Appendices.xlsm]App.2-CJ MIFRS_DepExp_2015'!K31-J31)</f>
    </nc>
    <odxf/>
    <ndxf/>
  </rcc>
  <rcc rId="363" sId="5" odxf="1" dxf="1" numFmtId="34">
    <oc r="K32">
      <v>375872</v>
    </oc>
    <nc r="K32">
      <f>IF(ISERROR(+I32+'\\domain2\infrastructure\Users\zingarov\Desktop\[Updated 2016_Filing_Requirements_Chapter2_Appendices.xlsm]App.2-CJ MIFRS_DepExp_2015'!K32-J32), 0, +I32+'\\domain2\infrastructure\Users\zingarov\Desktop\[Updated 2016_Filing_Requirements_Chapter2_Appendices.xlsm]App.2-CJ MIFRS_DepExp_2015'!K32-J32)</f>
    </nc>
    <odxf/>
    <ndxf/>
  </rcc>
  <rcc rId="364" sId="5" odxf="1" dxf="1" numFmtId="34">
    <oc r="K33">
      <v>0</v>
    </oc>
    <nc r="K33">
      <f>IF(ISERROR(+I33+'\\domain2\infrastructure\Users\zingarov\Desktop\[Updated 2016_Filing_Requirements_Chapter2_Appendices.xlsm]App.2-CJ MIFRS_DepExp_2015'!K33-J33), 0, +I33+'\\domain2\infrastructure\Users\zingarov\Desktop\[Updated 2016_Filing_Requirements_Chapter2_Appendices.xlsm]App.2-CJ MIFRS_DepExp_2015'!K33-J33)</f>
    </nc>
    <odxf/>
    <ndxf/>
  </rcc>
  <rcc rId="365" sId="5" odxf="1" dxf="1" numFmtId="34">
    <oc r="K34">
      <v>0</v>
    </oc>
    <nc r="K34">
      <f>IF(ISERROR(+I34+'\\domain2\infrastructure\Users\zingarov\Desktop\[Updated 2016_Filing_Requirements_Chapter2_Appendices.xlsm]App.2-CJ MIFRS_DepExp_2015'!K34-J34), 0, +I34+'\\domain2\infrastructure\Users\zingarov\Desktop\[Updated 2016_Filing_Requirements_Chapter2_Appendices.xlsm]App.2-CJ MIFRS_DepExp_2015'!K34-J34)</f>
    </nc>
    <odxf/>
    <ndxf/>
  </rcc>
  <rcc rId="366" sId="5" odxf="1" dxf="1" numFmtId="34">
    <oc r="K35">
      <v>5984.9059999999999</v>
    </oc>
    <nc r="K35">
      <f>IF(ISERROR(+I35+'\\domain2\infrastructure\Users\zingarov\Desktop\[Updated 2016_Filing_Requirements_Chapter2_Appendices.xlsm]App.2-CJ MIFRS_DepExp_2015'!K35-J35), 0, +I35+'\\domain2\infrastructure\Users\zingarov\Desktop\[Updated 2016_Filing_Requirements_Chapter2_Appendices.xlsm]App.2-CJ MIFRS_DepExp_2015'!K35-J35)</f>
    </nc>
    <odxf/>
    <ndxf/>
  </rcc>
  <rcc rId="367" sId="5" odxf="1" dxf="1" numFmtId="34">
    <oc r="K36">
      <v>3145.3670000000002</v>
    </oc>
    <nc r="K36">
      <f>IF(ISERROR(+I36+'\\domain2\infrastructure\Users\zingarov\Desktop\[Updated 2016_Filing_Requirements_Chapter2_Appendices.xlsm]App.2-CJ MIFRS_DepExp_2015'!K36-J36), 0, +I36+'\\domain2\infrastructure\Users\zingarov\Desktop\[Updated 2016_Filing_Requirements_Chapter2_Appendices.xlsm]App.2-CJ MIFRS_DepExp_2015'!K36-J36)</f>
    </nc>
    <odxf/>
    <ndxf/>
  </rcc>
  <rcc rId="368" sId="5" odxf="1" dxf="1" numFmtId="34">
    <oc r="K37">
      <v>0</v>
    </oc>
    <nc r="K37">
      <f>IF(ISERROR(+I37+'\\domain2\infrastructure\Users\zingarov\Desktop\[Updated 2016_Filing_Requirements_Chapter2_Appendices.xlsm]App.2-CJ MIFRS_DepExp_2015'!K37-J37), 0, +I37+'\\domain2\infrastructure\Users\zingarov\Desktop\[Updated 2016_Filing_Requirements_Chapter2_Appendices.xlsm]App.2-CJ MIFRS_DepExp_2015'!K37-J37)</f>
    </nc>
    <odxf/>
    <ndxf/>
  </rcc>
  <rcc rId="369" sId="5" odxf="1" dxf="1" numFmtId="34">
    <oc r="K38">
      <v>0</v>
    </oc>
    <nc r="K38">
      <f>IF(ISERROR(+I38+'\\domain2\infrastructure\Users\zingarov\Desktop\[Updated 2016_Filing_Requirements_Chapter2_Appendices.xlsm]App.2-CJ MIFRS_DepExp_2015'!K38-J38), 0, +I38+'\\domain2\infrastructure\Users\zingarov\Desktop\[Updated 2016_Filing_Requirements_Chapter2_Appendices.xlsm]App.2-CJ MIFRS_DepExp_2015'!K38-J38)</f>
    </nc>
    <odxf/>
    <ndxf/>
  </rcc>
  <rcc rId="370" sId="5" odxf="1" dxf="1" numFmtId="34">
    <oc r="K39">
      <v>0</v>
    </oc>
    <nc r="K39">
      <f>IF(ISERROR(+I39+'\\domain2\infrastructure\Users\zingarov\Desktop\[Updated 2016_Filing_Requirements_Chapter2_Appendices.xlsm]App.2-CJ MIFRS_DepExp_2015'!K39-J39), 0, +I39+'\\domain2\infrastructure\Users\zingarov\Desktop\[Updated 2016_Filing_Requirements_Chapter2_Appendices.xlsm]App.2-CJ MIFRS_DepExp_2015'!K39-J39)</f>
    </nc>
    <odxf/>
    <ndxf/>
  </rcc>
  <rcc rId="371" sId="5" odxf="1" dxf="1" numFmtId="34">
    <oc r="K40">
      <v>31901.752500000002</v>
    </oc>
    <nc r="K40">
      <f>IF(ISERROR(+I40+'\\domain2\infrastructure\Users\zingarov\Desktop\[Updated 2016_Filing_Requirements_Chapter2_Appendices.xlsm]App.2-CJ MIFRS_DepExp_2015'!K40-J40), 0, +I40+'\\domain2\infrastructure\Users\zingarov\Desktop\[Updated 2016_Filing_Requirements_Chapter2_Appendices.xlsm]App.2-CJ MIFRS_DepExp_2015'!K40-J40)</f>
    </nc>
    <odxf/>
    <ndxf/>
  </rcc>
  <rcc rId="372" sId="5" odxf="1" dxf="1" numFmtId="34">
    <oc r="K41">
      <v>199662.91329146389</v>
    </oc>
    <nc r="K41">
      <f>IF(ISERROR(+I41+'\\domain2\infrastructure\Users\zingarov\Desktop\[Updated 2016_Filing_Requirements_Chapter2_Appendices.xlsm]App.2-CJ MIFRS_DepExp_2015'!K41-J41), 0, +I41+'\\domain2\infrastructure\Users\zingarov\Desktop\[Updated 2016_Filing_Requirements_Chapter2_Appendices.xlsm]App.2-CJ MIFRS_DepExp_2015'!K41-J41)</f>
    </nc>
    <odxf/>
    <ndxf/>
  </rcc>
  <rcc rId="373" sId="5" odxf="1" dxf="1" numFmtId="34">
    <oc r="K42">
      <v>518.42499999999995</v>
    </oc>
    <nc r="K42">
      <f>IF(ISERROR(+I42+'\\domain2\infrastructure\Users\zingarov\Desktop\[Updated 2016_Filing_Requirements_Chapter2_Appendices.xlsm]App.2-CJ MIFRS_DepExp_2015'!K42-J42), 0, +I42+'\\domain2\infrastructure\Users\zingarov\Desktop\[Updated 2016_Filing_Requirements_Chapter2_Appendices.xlsm]App.2-CJ MIFRS_DepExp_2015'!K42-J42)</f>
    </nc>
    <odxf/>
    <ndxf/>
  </rcc>
  <rcc rId="374" sId="5" odxf="1" dxf="1" numFmtId="34">
    <oc r="K43">
      <v>18723.963000000003</v>
    </oc>
    <nc r="K43">
      <f>IF(ISERROR(+I43+'\\domain2\infrastructure\Users\zingarov\Desktop\[Updated 2016_Filing_Requirements_Chapter2_Appendices.xlsm]App.2-CJ MIFRS_DepExp_2015'!K43-J43), 0, +I43+'\\domain2\infrastructure\Users\zingarov\Desktop\[Updated 2016_Filing_Requirements_Chapter2_Appendices.xlsm]App.2-CJ MIFRS_DepExp_2015'!K43-J43)</f>
    </nc>
    <odxf/>
    <ndxf/>
  </rcc>
  <rcc rId="375" sId="5" odxf="1" dxf="1" numFmtId="34">
    <oc r="K44">
      <v>811.44900000000007</v>
    </oc>
    <nc r="K44">
      <f>IF(ISERROR(+I44+'\\domain2\infrastructure\Users\zingarov\Desktop\[Updated 2016_Filing_Requirements_Chapter2_Appendices.xlsm]App.2-CJ MIFRS_DepExp_2015'!K44-J44), 0, +I44+'\\domain2\infrastructure\Users\zingarov\Desktop\[Updated 2016_Filing_Requirements_Chapter2_Appendices.xlsm]App.2-CJ MIFRS_DepExp_2015'!K44-J44)</f>
    </nc>
    <odxf/>
    <ndxf/>
  </rcc>
  <rcc rId="376" sId="5" odxf="1" dxf="1" numFmtId="34">
    <oc r="K45">
      <v>0</v>
    </oc>
    <nc r="K45">
      <f>IF(ISERROR(+I45+'\\domain2\infrastructure\Users\zingarov\Desktop\[Updated 2016_Filing_Requirements_Chapter2_Appendices.xlsm]App.2-CJ MIFRS_DepExp_2015'!K45-J45), 0, +I45+'\\domain2\infrastructure\Users\zingarov\Desktop\[Updated 2016_Filing_Requirements_Chapter2_Appendices.xlsm]App.2-CJ MIFRS_DepExp_2015'!K45-J45)</f>
    </nc>
    <odxf/>
    <ndxf/>
  </rcc>
  <rcc rId="377" sId="5" odxf="1" dxf="1" numFmtId="34">
    <oc r="K46">
      <v>7517.5259999999998</v>
    </oc>
    <nc r="K46">
      <f>IF(ISERROR(+I46+'\\domain2\infrastructure\Users\zingarov\Desktop\[Updated 2016_Filing_Requirements_Chapter2_Appendices.xlsm]App.2-CJ MIFRS_DepExp_2015'!K46-J46), 0, +I46+'\\domain2\infrastructure\Users\zingarov\Desktop\[Updated 2016_Filing_Requirements_Chapter2_Appendices.xlsm]App.2-CJ MIFRS_DepExp_2015'!K46-J46)</f>
    </nc>
    <odxf/>
    <ndxf/>
  </rcc>
  <rcc rId="378" sId="5" odxf="1" dxf="1" numFmtId="34">
    <oc r="K47">
      <v>0</v>
    </oc>
    <nc r="K47">
      <f>IF(ISERROR(+I47+'\\domain2\infrastructure\Users\zingarov\Desktop\[Updated 2016_Filing_Requirements_Chapter2_Appendices.xlsm]App.2-CJ MIFRS_DepExp_2015'!K47-J47), 0, +I47+'\\domain2\infrastructure\Users\zingarov\Desktop\[Updated 2016_Filing_Requirements_Chapter2_Appendices.xlsm]App.2-CJ MIFRS_DepExp_2015'!K47-J47)</f>
    </nc>
    <odxf/>
    <ndxf/>
  </rcc>
  <rcc rId="379" sId="5" odxf="1" dxf="1" numFmtId="34">
    <oc r="K48">
      <v>0</v>
    </oc>
    <nc r="K48">
      <f>IF(ISERROR(+I48+'\\domain2\infrastructure\Users\zingarov\Desktop\[Updated 2016_Filing_Requirements_Chapter2_Appendices.xlsm]App.2-CJ MIFRS_DepExp_2015'!K48-J48), 0, +I48+'\\domain2\infrastructure\Users\zingarov\Desktop\[Updated 2016_Filing_Requirements_Chapter2_Appendices.xlsm]App.2-CJ MIFRS_DepExp_2015'!K48-J48)</f>
    </nc>
    <odxf/>
    <ndxf/>
  </rcc>
  <rcc rId="380" sId="5" odxf="1" dxf="1" numFmtId="34">
    <oc r="K49">
      <v>0</v>
    </oc>
    <nc r="K49">
      <f>IF(ISERROR(+I49+'\\domain2\infrastructure\Users\zingarov\Desktop\[Updated 2016_Filing_Requirements_Chapter2_Appendices.xlsm]App.2-CJ MIFRS_DepExp_2015'!K49-J49), 0, +I49+'\\domain2\infrastructure\Users\zingarov\Desktop\[Updated 2016_Filing_Requirements_Chapter2_Appendices.xlsm]App.2-CJ MIFRS_DepExp_2015'!K49-J49)</f>
    </nc>
    <odxf/>
    <ndxf/>
  </rcc>
  <rcc rId="381" sId="5" odxf="1" dxf="1" numFmtId="34">
    <oc r="K50">
      <v>0</v>
    </oc>
    <nc r="K50">
      <f>IF(ISERROR(+I50+'\\domain2\infrastructure\Users\zingarov\Desktop\[Updated 2016_Filing_Requirements_Chapter2_Appendices.xlsm]App.2-CJ MIFRS_DepExp_2015'!K50-J50), 0, +I50+'\\domain2\infrastructure\Users\zingarov\Desktop\[Updated 2016_Filing_Requirements_Chapter2_Appendices.xlsm]App.2-CJ MIFRS_DepExp_2015'!K50-J50)</f>
    </nc>
    <odxf/>
    <ndxf/>
  </rcc>
  <rcc rId="382" sId="5" odxf="1" dxf="1" numFmtId="34">
    <oc r="K51">
      <v>65489.534</v>
    </oc>
    <nc r="K51">
      <f>IF(ISERROR(+I51+'\\domain2\infrastructure\Users\zingarov\Desktop\[Updated 2016_Filing_Requirements_Chapter2_Appendices.xlsm]App.2-CJ MIFRS_DepExp_2015'!K51-J51), 0, +I51+'\\domain2\infrastructure\Users\zingarov\Desktop\[Updated 2016_Filing_Requirements_Chapter2_Appendices.xlsm]App.2-CJ MIFRS_DepExp_2015'!K51-J51)</f>
    </nc>
    <odxf/>
    <ndxf/>
  </rcc>
  <rcc rId="383" sId="5" odxf="1" dxf="1" numFmtId="34">
    <oc r="K52">
      <v>0</v>
    </oc>
    <nc r="K52">
      <f>IF(ISERROR(+I52+'\\domain2\infrastructure\Users\zingarov\Desktop\[Updated 2016_Filing_Requirements_Chapter2_Appendices.xlsm]App.2-CJ MIFRS_DepExp_2015'!K52-J52), 0, +I52+'\\domain2\infrastructure\Users\zingarov\Desktop\[Updated 2016_Filing_Requirements_Chapter2_Appendices.xlsm]App.2-CJ MIFRS_DepExp_2015'!K52-J52)</f>
    </nc>
    <odxf/>
    <ndxf/>
  </rcc>
  <rcc rId="384" sId="5" odxf="1" dxf="1" numFmtId="34">
    <oc r="K53">
      <v>0</v>
    </oc>
    <nc r="K53">
      <f>IF(ISERROR(+I53+'\\domain2\infrastructure\Users\zingarov\Desktop\[Updated 2016_Filing_Requirements_Chapter2_Appendices.xlsm]App.2-CJ MIFRS_DepExp_2015'!K53-J53), 0, +I53+'\\domain2\infrastructure\Users\zingarov\Desktop\[Updated 2016_Filing_Requirements_Chapter2_Appendices.xlsm]App.2-CJ MIFRS_DepExp_2015'!K53-J53)</f>
    </nc>
    <odxf/>
    <ndxf/>
  </rcc>
  <rcc rId="385" sId="5" odxf="1" dxf="1" numFmtId="34">
    <oc r="K54">
      <v>-141629.02450651364</v>
    </oc>
    <nc r="K54">
      <f>IF(ISERROR(+I54+'\\domain2\infrastructure\Users\zingarov\Desktop\[Updated 2016_Filing_Requirements_Chapter2_Appendices.xlsm]App.2-CJ MIFRS_DepExp_2015'!K54-J54), 0, +I54+'\\domain2\infrastructure\Users\zingarov\Desktop\[Updated 2016_Filing_Requirements_Chapter2_Appendices.xlsm]App.2-CJ MIFRS_DepExp_2015'!K54-J54)</f>
    </nc>
    <odxf/>
    <ndxf/>
  </rcc>
  <rcc rId="386" sId="6" numFmtId="34">
    <oc r="H17">
      <v>7449.9199999999837</v>
    </oc>
    <nc r="H17">
      <f>IF(ISERROR(+F17-G17), 0, +F17-G17)</f>
    </nc>
  </rcc>
  <rcc rId="387" sId="6" numFmtId="34">
    <oc r="H18">
      <v>2.2737367544323206E-13</v>
    </oc>
    <nc r="H18">
      <f>IF(ISERROR(+F18-G18), 0, +F18-G18)</f>
    </nc>
  </rcc>
  <rcc rId="388" sId="6" numFmtId="34">
    <oc r="H19">
      <v>0</v>
    </oc>
    <nc r="H19">
      <f>IF(ISERROR(+F19-G19), 0, +F19-G19)</f>
    </nc>
  </rcc>
  <rcc rId="389" sId="6" numFmtId="34">
    <oc r="H20">
      <v>0.99999999999636202</v>
    </oc>
    <nc r="H20">
      <f>IF(ISERROR(+F20-G20), 0, +F20-G20)</f>
    </nc>
  </rcc>
  <rcc rId="390" sId="6" numFmtId="34">
    <oc r="H21">
      <v>0</v>
    </oc>
    <nc r="H21">
      <f>IF(ISERROR(+F21-G21), 0, +F21-G21)</f>
    </nc>
  </rcc>
  <rcc rId="391" sId="6" numFmtId="34">
    <oc r="H22">
      <v>7585.6911111111112</v>
    </oc>
    <nc r="H22">
      <f>IF(ISERROR(+F22-G22), 0, +F22-G22)</f>
    </nc>
  </rcc>
  <rcc rId="392" sId="6" numFmtId="34">
    <oc r="H23">
      <v>-39207.504333333338</v>
    </oc>
    <nc r="H23">
      <f>IF(ISERROR(+F23-G23), 0, +F23-G23)</f>
    </nc>
  </rcc>
  <rcc rId="393" sId="6" numFmtId="34">
    <oc r="H24">
      <v>0</v>
    </oc>
    <nc r="H24">
      <f>IF(ISERROR(+F24-G24), 0, +F24-G24)</f>
    </nc>
  </rcc>
  <rcc rId="394" sId="6" numFmtId="34">
    <oc r="H25">
      <v>35311.171674840618</v>
    </oc>
    <nc r="H25">
      <f>IF(ISERROR(+F25-G25), 0, +F25-G25)</f>
    </nc>
  </rcc>
  <rcc rId="395" sId="6" numFmtId="34">
    <oc r="H26">
      <v>-2378.4357646334101</v>
    </oc>
    <nc r="H26">
      <f>IF(ISERROR(+F26-G26), 0, +F26-G26)</f>
    </nc>
  </rcc>
  <rcc rId="396" sId="6" numFmtId="34">
    <oc r="H27">
      <v>-75.650740909419255</v>
    </oc>
    <nc r="H27">
      <f>IF(ISERROR(+F27-G27), 0, +F27-G27)</f>
    </nc>
  </rcc>
  <rcc rId="397" sId="6" numFmtId="34">
    <oc r="H28">
      <v>-1216.9655327128712</v>
    </oc>
    <nc r="H28">
      <f>IF(ISERROR(+F28-G28), 0, +F28-G28)</f>
    </nc>
  </rcc>
  <rcc rId="398" sId="6" numFmtId="34">
    <oc r="H29">
      <v>-628.75053870124975</v>
    </oc>
    <nc r="H29">
      <f>IF(ISERROR(+F29-G29), 0, +F29-G29)</f>
    </nc>
  </rcc>
  <rcc rId="399" sId="6" numFmtId="34">
    <oc r="H30">
      <v>-126.18439999999828</v>
    </oc>
    <nc r="H30">
      <f>IF(ISERROR(+F30-G30), 0, +F30-G30)</f>
    </nc>
  </rcc>
  <rcc rId="400" sId="6" numFmtId="34">
    <oc r="H31">
      <v>13736.670536310645</v>
    </oc>
    <nc r="H31">
      <f>IF(ISERROR(+F31-G31), 0, +F31-G31)</f>
    </nc>
  </rcc>
  <rcc rId="401" sId="6" numFmtId="34">
    <oc r="H32">
      <v>4142</v>
    </oc>
    <nc r="H32">
      <f>IF(ISERROR(+F32-G32), 0, +F32-G32)</f>
    </nc>
  </rcc>
  <rcc rId="402" sId="6" numFmtId="34">
    <oc r="H33">
      <v>0</v>
    </oc>
    <nc r="H33">
      <f>IF(ISERROR(+F33-G33), 0, +F33-G33)</f>
    </nc>
  </rcc>
  <rcc rId="403" sId="6" numFmtId="34">
    <oc r="H34">
      <v>0</v>
    </oc>
    <nc r="H34">
      <f>IF(ISERROR(+F34-G34), 0, +F34-G34)</f>
    </nc>
  </rcc>
  <rcc rId="404" sId="6" numFmtId="34">
    <oc r="H35">
      <v>-293.76066666666611</v>
    </oc>
    <nc r="H35">
      <f>IF(ISERROR(+F35-G35), 0, +F35-G35)</f>
    </nc>
  </rcc>
  <rcc rId="405" sId="6" numFmtId="34">
    <oc r="H36">
      <v>-23.974999999999909</v>
    </oc>
    <nc r="H36">
      <f>IF(ISERROR(+F36-G36), 0, +F36-G36)</f>
    </nc>
  </rcc>
  <rcc rId="406" sId="6" numFmtId="34">
    <oc r="H37">
      <v>0</v>
    </oc>
    <nc r="H37">
      <f>IF(ISERROR(+F37-G37), 0, +F37-G37)</f>
    </nc>
  </rcc>
  <rcc rId="407" sId="6" numFmtId="34">
    <oc r="H38">
      <v>0</v>
    </oc>
    <nc r="H38">
      <f>IF(ISERROR(+F38-G38), 0, +F38-G38)</f>
    </nc>
  </rcc>
  <rcc rId="408" sId="6" numFmtId="34">
    <oc r="H39">
      <v>0</v>
    </oc>
    <nc r="H39">
      <f>IF(ISERROR(+F39-G39), 0, +F39-G39)</f>
    </nc>
  </rcc>
  <rcc rId="409" sId="6" numFmtId="34">
    <oc r="H40">
      <v>6002.4050000000025</v>
    </oc>
    <nc r="H40">
      <f>IF(ISERROR(+F40-G40), 0, +F40-G40)</f>
    </nc>
  </rcc>
  <rcc rId="410" sId="6" numFmtId="34">
    <oc r="H41">
      <v>7149.4288683869527</v>
    </oc>
    <nc r="H41">
      <f>IF(ISERROR(+F41-G41), 0, +F41-G41)</f>
    </nc>
  </rcc>
  <rcc rId="411" sId="6" numFmtId="34">
    <oc r="H42">
      <v>0.42499999999995453</v>
    </oc>
    <nc r="H42">
      <f>IF(ISERROR(+F42-G42), 0, +F42-G42)</f>
    </nc>
  </rcc>
  <rcc rId="412" sId="6" numFmtId="34">
    <oc r="H43">
      <v>686.74700000000303</v>
    </oc>
    <nc r="H43">
      <f>IF(ISERROR(+F43-G43), 0, +F43-G43)</f>
    </nc>
  </rcc>
  <rcc rId="413" sId="6" numFmtId="34">
    <oc r="H44">
      <v>-0.55099999999993088</v>
    </oc>
    <nc r="H44">
      <f>IF(ISERROR(+F44-G44), 0, +F44-G44)</f>
    </nc>
  </rcc>
  <rcc rId="414" sId="6" numFmtId="34">
    <oc r="H45">
      <v>0</v>
    </oc>
    <nc r="H45">
      <f>IF(ISERROR(+F45-G45), 0, +F45-G45)</f>
    </nc>
  </rcc>
  <rcc rId="415" sId="6" numFmtId="34">
    <oc r="H46">
      <v>-4536.4740000000002</v>
    </oc>
    <nc r="H46">
      <f>IF(ISERROR(+F46-G46), 0, +F46-G46)</f>
    </nc>
  </rcc>
  <rcc rId="416" sId="6" numFmtId="34">
    <oc r="H47">
      <v>0</v>
    </oc>
    <nc r="H47">
      <f>IF(ISERROR(+F47-G47), 0, +F47-G47)</f>
    </nc>
  </rcc>
  <rcc rId="417" sId="6" numFmtId="34">
    <oc r="H48">
      <v>0</v>
    </oc>
    <nc r="H48">
      <f>IF(ISERROR(+F48-G48), 0, +F48-G48)</f>
    </nc>
  </rcc>
  <rcc rId="418" sId="6" numFmtId="34">
    <oc r="H49">
      <v>0</v>
    </oc>
    <nc r="H49">
      <f>IF(ISERROR(+F49-G49), 0, +F49-G49)</f>
    </nc>
  </rcc>
  <rcc rId="419" sId="6" numFmtId="34">
    <oc r="H50">
      <v>0</v>
    </oc>
    <nc r="H50">
      <f>IF(ISERROR(+F50-G50), 0, +F50-G50)</f>
    </nc>
  </rcc>
  <rcc rId="420" sId="6" numFmtId="34">
    <oc r="H51">
      <v>426.10266666664393</v>
    </oc>
    <nc r="H51">
      <f>IF(ISERROR(+F51-G51), 0, +F51-G51)</f>
    </nc>
  </rcc>
  <rcc rId="421" sId="6" numFmtId="34">
    <oc r="H52">
      <v>0</v>
    </oc>
    <nc r="H52">
      <f>IF(ISERROR(+F52-G52), 0, +F52-G52)</f>
    </nc>
  </rcc>
  <rcc rId="422" sId="6" numFmtId="34">
    <oc r="H53">
      <v>0</v>
    </oc>
    <nc r="H53">
      <f>IF(ISERROR(+F53-G53), 0, +F53-G53)</f>
    </nc>
  </rcc>
  <rcc rId="423" sId="6" numFmtId="34">
    <oc r="H54">
      <v>7218.4754934863595</v>
    </oc>
    <nc r="H54">
      <f>IF(ISERROR(+F54-G54), 0, +F54-G54)</f>
    </nc>
  </rcc>
  <rcc rId="424" sId="6">
    <oc r="H55">
      <f>SUM(H17:H54)</f>
    </oc>
    <nc r="H55">
      <f>SUM(H17:H54)</f>
    </nc>
  </rcc>
  <rcc rId="425" sId="6" numFmtId="34">
    <oc r="F17">
      <v>354146.92</v>
    </oc>
    <nc r="F17">
      <f>IF(D17=0,'\\domain2\infrastructure\Users\zingarov\Desktop\[Updated 2016_Filing_Requirements_Chapter2_Appendices.xlsm]App.2-CK MIFRS_DepExp_2016'!K17,+'\\domain2\infrastructure\Users\zingarov\Desktop\[Updated 2016_Filing_Requirements_Chapter2_Appendices.xlsm]App.2-CK MIFRS_DepExp_2016'!K17+((C17*0.5)/D17))</f>
    </nc>
  </rcc>
  <rcc rId="426" sId="6" numFmtId="34">
    <oc r="F18">
      <v>2034.5000000000002</v>
    </oc>
    <nc r="F18">
      <f>IF(D18=0,'\\domain2\infrastructure\Users\zingarov\Desktop\[Updated 2016_Filing_Requirements_Chapter2_Appendices.xlsm]App.2-CK MIFRS_DepExp_2016'!K18,+'\\domain2\infrastructure\Users\zingarov\Desktop\[Updated 2016_Filing_Requirements_Chapter2_Appendices.xlsm]App.2-CK MIFRS_DepExp_2016'!K18+((C18*0.5)/D18))</f>
    </nc>
  </rcc>
  <rcc rId="427" sId="6" numFmtId="34">
    <oc r="F19">
      <v>0</v>
    </oc>
    <nc r="F19">
      <f>IF(D19=0,'\\domain2\infrastructure\Users\zingarov\Desktop\[Updated 2016_Filing_Requirements_Chapter2_Appendices.xlsm]App.2-CK MIFRS_DepExp_2016'!K19,+'\\domain2\infrastructure\Users\zingarov\Desktop\[Updated 2016_Filing_Requirements_Chapter2_Appendices.xlsm]App.2-CK MIFRS_DepExp_2016'!K19+((C19*0.5)/D19))</f>
    </nc>
  </rcc>
  <rcc rId="428" sId="6" numFmtId="34">
    <oc r="F20">
      <v>27623.999999999996</v>
    </oc>
    <nc r="F20">
      <f>IF(D20=0,'\\domain2\infrastructure\Users\zingarov\Desktop\[Updated 2016_Filing_Requirements_Chapter2_Appendices.xlsm]App.2-CK MIFRS_DepExp_2016'!K20,+'\\domain2\infrastructure\Users\zingarov\Desktop\[Updated 2016_Filing_Requirements_Chapter2_Appendices.xlsm]App.2-CK MIFRS_DepExp_2016'!K20+((C20*0.5)/D20))</f>
    </nc>
  </rcc>
  <rcc rId="429" sId="6" numFmtId="34">
    <oc r="F21">
      <v>0</v>
    </oc>
    <nc r="F21">
      <f>IF(D21=0,'\\domain2\infrastructure\Users\zingarov\Desktop\[Updated 2016_Filing_Requirements_Chapter2_Appendices.xlsm]App.2-CK MIFRS_DepExp_2016'!K21,+'\\domain2\infrastructure\Users\zingarov\Desktop\[Updated 2016_Filing_Requirements_Chapter2_Appendices.xlsm]App.2-CK MIFRS_DepExp_2016'!K21+((C21*0.5)/D21))</f>
    </nc>
  </rcc>
  <rcc rId="430" sId="6" numFmtId="34">
    <oc r="F22">
      <v>121190.07333333333</v>
    </oc>
    <nc r="F22">
      <f>IF(D22=0,'\\domain2\infrastructure\Users\zingarov\Desktop\[Updated 2016_Filing_Requirements_Chapter2_Appendices.xlsm]App.2-CK MIFRS_DepExp_2016'!K22,+'\\domain2\infrastructure\Users\zingarov\Desktop\[Updated 2016_Filing_Requirements_Chapter2_Appendices.xlsm]App.2-CK MIFRS_DepExp_2016'!K22+((C22*0.5)/D22))</f>
    </nc>
  </rcc>
  <rcc rId="431" sId="6" numFmtId="34">
    <oc r="F23">
      <v>-38995.504333333338</v>
    </oc>
    <nc r="F23">
      <f>IF(D23=0,'\\domain2\infrastructure\Users\zingarov\Desktop\[Updated 2016_Filing_Requirements_Chapter2_Appendices.xlsm]App.2-CK MIFRS_DepExp_2016'!K23,+'\\domain2\infrastructure\Users\zingarov\Desktop\[Updated 2016_Filing_Requirements_Chapter2_Appendices.xlsm]App.2-CK MIFRS_DepExp_2016'!K23+((C23*0.5)/D23))</f>
    </nc>
  </rcc>
  <rcc rId="432" sId="6" numFmtId="34">
    <oc r="F24">
      <v>0</v>
    </oc>
    <nc r="F24">
      <f>IF(D24=0,'\\domain2\infrastructure\Users\zingarov\Desktop\[Updated 2016_Filing_Requirements_Chapter2_Appendices.xlsm]App.2-CK MIFRS_DepExp_2016'!K24,+'\\domain2\infrastructure\Users\zingarov\Desktop\[Updated 2016_Filing_Requirements_Chapter2_Appendices.xlsm]App.2-CK MIFRS_DepExp_2016'!K24+((C24*0.5)/D24))</f>
    </nc>
  </rcc>
  <rcc rId="433" sId="6" numFmtId="34">
    <oc r="F25">
      <v>414600.85884150723</v>
    </oc>
    <nc r="F25">
      <f>IF(D25=0,'\\domain2\infrastructure\Users\zingarov\Desktop\[Updated 2016_Filing_Requirements_Chapter2_Appendices.xlsm]App.2-CK MIFRS_DepExp_2016'!K25,+'\\domain2\infrastructure\Users\zingarov\Desktop\[Updated 2016_Filing_Requirements_Chapter2_Appendices.xlsm]App.2-CK MIFRS_DepExp_2016'!K25+((C25*0.5)/D25))</f>
    </nc>
  </rcc>
  <rcc rId="434" sId="6" numFmtId="34">
    <oc r="F26">
      <v>301729.1679575888</v>
    </oc>
    <nc r="F26">
      <f>IF(D26=0,'\\domain2\infrastructure\Users\zingarov\Desktop\[Updated 2016_Filing_Requirements_Chapter2_Appendices.xlsm]App.2-CK MIFRS_DepExp_2016'!K26,+'\\domain2\infrastructure\Users\zingarov\Desktop\[Updated 2016_Filing_Requirements_Chapter2_Appendices.xlsm]App.2-CK MIFRS_DepExp_2016'!K26+((C26*0.5)/D26))</f>
    </nc>
  </rcc>
  <rcc rId="435" sId="6" numFmtId="34">
    <oc r="F27">
      <v>242196.87030454513</v>
    </oc>
    <nc r="F27">
      <f>IF(D27=0,'\\domain2\infrastructure\Users\zingarov\Desktop\[Updated 2016_Filing_Requirements_Chapter2_Appendices.xlsm]App.2-CK MIFRS_DepExp_2016'!K27,+'\\domain2\infrastructure\Users\zingarov\Desktop\[Updated 2016_Filing_Requirements_Chapter2_Appendices.xlsm]App.2-CK MIFRS_DepExp_2016'!K27+((C27*0.5)/D27))</f>
    </nc>
  </rcc>
  <rcc rId="436" sId="6" numFmtId="34">
    <oc r="F28">
      <v>689771.42203871568</v>
    </oc>
    <nc r="F28">
      <f>IF(D28=0,'\\domain2\infrastructure\Users\zingarov\Desktop\[Updated 2016_Filing_Requirements_Chapter2_Appendices.xlsm]App.2-CK MIFRS_DepExp_2016'!K28,+'\\domain2\infrastructure\Users\zingarov\Desktop\[Updated 2016_Filing_Requirements_Chapter2_Appendices.xlsm]App.2-CK MIFRS_DepExp_2016'!K28+((C28*0.5)/D28))</f>
    </nc>
  </rcc>
  <rcc rId="437" sId="6" numFmtId="34">
    <oc r="F29">
      <v>492533.76961606066</v>
    </oc>
    <nc r="F29">
      <f>IF(D29=0,'\\domain2\infrastructure\Users\zingarov\Desktop\[Updated 2016_Filing_Requirements_Chapter2_Appendices.xlsm]App.2-CK MIFRS_DepExp_2016'!K29,+'\\domain2\infrastructure\Users\zingarov\Desktop\[Updated 2016_Filing_Requirements_Chapter2_Appendices.xlsm]App.2-CK MIFRS_DepExp_2016'!K29+((C29*0.5)/D29))</f>
    </nc>
  </rcc>
  <rcc rId="438" sId="6" numFmtId="34">
    <oc r="F30">
      <v>93949.784800000009</v>
    </oc>
    <nc r="F30">
      <f>IF(D30=0,'\\domain2\infrastructure\Users\zingarov\Desktop\[Updated 2016_Filing_Requirements_Chapter2_Appendices.xlsm]App.2-CK MIFRS_DepExp_2016'!K30,+'\\domain2\infrastructure\Users\zingarov\Desktop\[Updated 2016_Filing_Requirements_Chapter2_Appendices.xlsm]App.2-CK MIFRS_DepExp_2016'!K30+((C30*0.5)/D30))</f>
    </nc>
  </rcc>
  <rcc rId="439" sId="6" numFmtId="34">
    <oc r="F31">
      <v>251302.43746964401</v>
    </oc>
    <nc r="F31">
      <f>IF(D31=0,'\\domain2\infrastructure\Users\zingarov\Desktop\[Updated 2016_Filing_Requirements_Chapter2_Appendices.xlsm]App.2-CK MIFRS_DepExp_2016'!K31,+'\\domain2\infrastructure\Users\zingarov\Desktop\[Updated 2016_Filing_Requirements_Chapter2_Appendices.xlsm]App.2-CK MIFRS_DepExp_2016'!K31+((C31*0.5)/D31))</f>
    </nc>
  </rcc>
  <rcc rId="440" sId="6" numFmtId="34">
    <oc r="F32">
      <v>375872</v>
    </oc>
    <nc r="F32">
      <f>IF(D32=0,'\\domain2\infrastructure\Users\zingarov\Desktop\[Updated 2016_Filing_Requirements_Chapter2_Appendices.xlsm]App.2-CK MIFRS_DepExp_2016'!K32,+'\\domain2\infrastructure\Users\zingarov\Desktop\[Updated 2016_Filing_Requirements_Chapter2_Appendices.xlsm]App.2-CK MIFRS_DepExp_2016'!K32+((C32*0.5)/D32))</f>
    </nc>
  </rcc>
  <rcc rId="441" sId="6" numFmtId="34">
    <oc r="F33">
      <v>0</v>
    </oc>
    <nc r="F33">
      <f>IF(D33=0,'\\domain2\infrastructure\Users\zingarov\Desktop\[Updated 2016_Filing_Requirements_Chapter2_Appendices.xlsm]App.2-CK MIFRS_DepExp_2016'!K33,+'\\domain2\infrastructure\Users\zingarov\Desktop\[Updated 2016_Filing_Requirements_Chapter2_Appendices.xlsm]App.2-CK MIFRS_DepExp_2016'!K33+((C33*0.5)/D33))</f>
    </nc>
  </rcc>
  <rcc rId="442" sId="6" numFmtId="34">
    <oc r="F34">
      <v>0</v>
    </oc>
    <nc r="F34">
      <f>IF(D34=0,'\\domain2\infrastructure\Users\zingarov\Desktop\[Updated 2016_Filing_Requirements_Chapter2_Appendices.xlsm]App.2-CK MIFRS_DepExp_2016'!K34,+'\\domain2\infrastructure\Users\zingarov\Desktop\[Updated 2016_Filing_Requirements_Chapter2_Appendices.xlsm]App.2-CK MIFRS_DepExp_2016'!K34+((C34*0.5)/D34))</f>
    </nc>
  </rcc>
  <rcc rId="443" sId="6" numFmtId="34">
    <oc r="F35">
      <v>5984.9059999999999</v>
    </oc>
    <nc r="F35">
      <f>IF(D35=0,'\\domain2\infrastructure\Users\zingarov\Desktop\[Updated 2016_Filing_Requirements_Chapter2_Appendices.xlsm]App.2-CK MIFRS_DepExp_2016'!K35,+'\\domain2\infrastructure\Users\zingarov\Desktop\[Updated 2016_Filing_Requirements_Chapter2_Appendices.xlsm]App.2-CK MIFRS_DepExp_2016'!K35+((C35*0.5)/D35))</f>
    </nc>
  </rcc>
  <rcc rId="444" sId="6" numFmtId="34">
    <oc r="F36">
      <v>3145.3670000000002</v>
    </oc>
    <nc r="F36">
      <f>IF(D36=0,'\\domain2\infrastructure\Users\zingarov\Desktop\[Updated 2016_Filing_Requirements_Chapter2_Appendices.xlsm]App.2-CK MIFRS_DepExp_2016'!K36,+'\\domain2\infrastructure\Users\zingarov\Desktop\[Updated 2016_Filing_Requirements_Chapter2_Appendices.xlsm]App.2-CK MIFRS_DepExp_2016'!K36+((C36*0.5)/D36))</f>
    </nc>
  </rcc>
  <rcc rId="445" sId="6" numFmtId="34">
    <oc r="F37">
      <v>0</v>
    </oc>
    <nc r="F37">
      <f>IF(D37=0,'\\domain2\infrastructure\Users\zingarov\Desktop\[Updated 2016_Filing_Requirements_Chapter2_Appendices.xlsm]App.2-CK MIFRS_DepExp_2016'!K37,+'\\domain2\infrastructure\Users\zingarov\Desktop\[Updated 2016_Filing_Requirements_Chapter2_Appendices.xlsm]App.2-CK MIFRS_DepExp_2016'!K37+((C37*0.5)/D37))</f>
    </nc>
  </rcc>
  <rcc rId="446" sId="6" numFmtId="34">
    <oc r="F38">
      <v>0</v>
    </oc>
    <nc r="F38">
      <f>IF(D38=0,'\\domain2\infrastructure\Users\zingarov\Desktop\[Updated 2016_Filing_Requirements_Chapter2_Appendices.xlsm]App.2-CK MIFRS_DepExp_2016'!K38,+'\\domain2\infrastructure\Users\zingarov\Desktop\[Updated 2016_Filing_Requirements_Chapter2_Appendices.xlsm]App.2-CK MIFRS_DepExp_2016'!K38+((C38*0.5)/D38))</f>
    </nc>
  </rcc>
  <rcc rId="447" sId="6" numFmtId="34">
    <oc r="F39">
      <v>0</v>
    </oc>
    <nc r="F39">
      <f>IF(D39=0,'\\domain2\infrastructure\Users\zingarov\Desktop\[Updated 2016_Filing_Requirements_Chapter2_Appendices.xlsm]App.2-CK MIFRS_DepExp_2016'!K39,+'\\domain2\infrastructure\Users\zingarov\Desktop\[Updated 2016_Filing_Requirements_Chapter2_Appendices.xlsm]App.2-CK MIFRS_DepExp_2016'!K39+((C39*0.5)/D39))</f>
    </nc>
  </rcc>
  <rcc rId="448" sId="6" numFmtId="34">
    <oc r="F40">
      <v>36376.752500000002</v>
    </oc>
    <nc r="F40">
      <f>IF(D40=0,'\\domain2\infrastructure\Users\zingarov\Desktop\[Updated 2016_Filing_Requirements_Chapter2_Appendices.xlsm]App.2-CK MIFRS_DepExp_2016'!K40,+'\\domain2\infrastructure\Users\zingarov\Desktop\[Updated 2016_Filing_Requirements_Chapter2_Appendices.xlsm]App.2-CK MIFRS_DepExp_2016'!K40+((C40*0.5)/D40))</f>
    </nc>
  </rcc>
  <rcc rId="449" sId="6" numFmtId="34">
    <oc r="F41">
      <v>221576.97579146389</v>
    </oc>
    <nc r="F41">
      <f>IF(D41=0,'\\domain2\infrastructure\Users\zingarov\Desktop\[Updated 2016_Filing_Requirements_Chapter2_Appendices.xlsm]App.2-CK MIFRS_DepExp_2016'!K41,+'\\domain2\infrastructure\Users\zingarov\Desktop\[Updated 2016_Filing_Requirements_Chapter2_Appendices.xlsm]App.2-CK MIFRS_DepExp_2016'!K41+((C41*0.5)/D41))</f>
    </nc>
  </rcc>
  <rcc rId="450" sId="6" numFmtId="34">
    <oc r="F42">
      <v>518.42499999999995</v>
    </oc>
    <nc r="F42">
      <f>IF(D42=0,'\\domain2\infrastructure\Users\zingarov\Desktop\[Updated 2016_Filing_Requirements_Chapter2_Appendices.xlsm]App.2-CK MIFRS_DepExp_2016'!K42,+'\\domain2\infrastructure\Users\zingarov\Desktop\[Updated 2016_Filing_Requirements_Chapter2_Appendices.xlsm]App.2-CK MIFRS_DepExp_2016'!K42+((C42*0.5)/D42))</f>
    </nc>
  </rcc>
  <rcc rId="451" sId="6" numFmtId="34">
    <oc r="F43">
      <v>19973.963000000003</v>
    </oc>
    <nc r="F43">
      <f>IF(D43=0,'\\domain2\infrastructure\Users\zingarov\Desktop\[Updated 2016_Filing_Requirements_Chapter2_Appendices.xlsm]App.2-CK MIFRS_DepExp_2016'!K43,+'\\domain2\infrastructure\Users\zingarov\Desktop\[Updated 2016_Filing_Requirements_Chapter2_Appendices.xlsm]App.2-CK MIFRS_DepExp_2016'!K43+((C43*0.5)/D43))</f>
    </nc>
  </rcc>
  <rcc rId="452" sId="6" numFmtId="34">
    <oc r="F44">
      <v>811.44900000000007</v>
    </oc>
    <nc r="F44">
      <f>IF(D44=0,'\\domain2\infrastructure\Users\zingarov\Desktop\[Updated 2016_Filing_Requirements_Chapter2_Appendices.xlsm]App.2-CK MIFRS_DepExp_2016'!K44,+'\\domain2\infrastructure\Users\zingarov\Desktop\[Updated 2016_Filing_Requirements_Chapter2_Appendices.xlsm]App.2-CK MIFRS_DepExp_2016'!K44+((C44*0.5)/D44))</f>
    </nc>
  </rcc>
  <rcc rId="453" sId="6" numFmtId="34">
    <oc r="F45">
      <v>0</v>
    </oc>
    <nc r="F45">
      <f>IF(D45=0,'\\domain2\infrastructure\Users\zingarov\Desktop\[Updated 2016_Filing_Requirements_Chapter2_Appendices.xlsm]App.2-CK MIFRS_DepExp_2016'!K45,+'\\domain2\infrastructure\Users\zingarov\Desktop\[Updated 2016_Filing_Requirements_Chapter2_Appendices.xlsm]App.2-CK MIFRS_DepExp_2016'!K45+((C45*0.5)/D45))</f>
    </nc>
  </rcc>
  <rcc rId="454" sId="6" numFmtId="34">
    <oc r="F46">
      <v>7517.5259999999998</v>
    </oc>
    <nc r="F46">
      <f>IF(D46=0,'\\domain2\infrastructure\Users\zingarov\Desktop\[Updated 2016_Filing_Requirements_Chapter2_Appendices.xlsm]App.2-CK MIFRS_DepExp_2016'!K46,+'\\domain2\infrastructure\Users\zingarov\Desktop\[Updated 2016_Filing_Requirements_Chapter2_Appendices.xlsm]App.2-CK MIFRS_DepExp_2016'!K46+((C46*0.5)/D46))</f>
    </nc>
  </rcc>
  <rcc rId="455" sId="6" numFmtId="34">
    <oc r="F47">
      <v>0</v>
    </oc>
    <nc r="F47">
      <f>IF(D47=0,'\\domain2\infrastructure\Users\zingarov\Desktop\[Updated 2016_Filing_Requirements_Chapter2_Appendices.xlsm]App.2-CK MIFRS_DepExp_2016'!K47,+'\\domain2\infrastructure\Users\zingarov\Desktop\[Updated 2016_Filing_Requirements_Chapter2_Appendices.xlsm]App.2-CK MIFRS_DepExp_2016'!K47+((C47*0.5)/D47))</f>
    </nc>
  </rcc>
  <rcc rId="456" sId="6" numFmtId="34">
    <oc r="F48">
      <v>0</v>
    </oc>
    <nc r="F48">
      <f>IF(D48=0,'\\domain2\infrastructure\Users\zingarov\Desktop\[Updated 2016_Filing_Requirements_Chapter2_Appendices.xlsm]App.2-CK MIFRS_DepExp_2016'!K48,+'\\domain2\infrastructure\Users\zingarov\Desktop\[Updated 2016_Filing_Requirements_Chapter2_Appendices.xlsm]App.2-CK MIFRS_DepExp_2016'!K48+((C48*0.5)/D48))</f>
    </nc>
  </rcc>
  <rcc rId="457" sId="6" numFmtId="34">
    <oc r="F49">
      <v>0</v>
    </oc>
    <nc r="F49">
      <f>IF(D49=0,'\\domain2\infrastructure\Users\zingarov\Desktop\[Updated 2016_Filing_Requirements_Chapter2_Appendices.xlsm]App.2-CK MIFRS_DepExp_2016'!K49,+'\\domain2\infrastructure\Users\zingarov\Desktop\[Updated 2016_Filing_Requirements_Chapter2_Appendices.xlsm]App.2-CK MIFRS_DepExp_2016'!K49+((C49*0.5)/D49))</f>
    </nc>
  </rcc>
  <rcc rId="458" sId="6" numFmtId="34">
    <oc r="F50">
      <v>0</v>
    </oc>
    <nc r="F50">
      <f>IF(D50=0,'\\domain2\infrastructure\Users\zingarov\Desktop\[Updated 2016_Filing_Requirements_Chapter2_Appendices.xlsm]App.2-CK MIFRS_DepExp_2016'!K50,+'\\domain2\infrastructure\Users\zingarov\Desktop\[Updated 2016_Filing_Requirements_Chapter2_Appendices.xlsm]App.2-CK MIFRS_DepExp_2016'!K50+((C50*0.5)/D50))</f>
    </nc>
  </rcc>
  <rcc rId="459" sId="6" numFmtId="34">
    <oc r="F51">
      <v>68514.867333333328</v>
    </oc>
    <nc r="F51">
      <f>IF(D51=0,'\\domain2\infrastructure\Users\zingarov\Desktop\[Updated 2016_Filing_Requirements_Chapter2_Appendices.xlsm]App.2-CK MIFRS_DepExp_2016'!K51,+'\\domain2\infrastructure\Users\zingarov\Desktop\[Updated 2016_Filing_Requirements_Chapter2_Appendices.xlsm]App.2-CK MIFRS_DepExp_2016'!K51+((C51*0.5)/D51))</f>
    </nc>
  </rcc>
  <rcc rId="460" sId="6" numFmtId="34">
    <oc r="F52">
      <v>0</v>
    </oc>
    <nc r="F52">
      <f>IF(D52=0,'\\domain2\infrastructure\Users\zingarov\Desktop\[Updated 2016_Filing_Requirements_Chapter2_Appendices.xlsm]App.2-CK MIFRS_DepExp_2016'!K52,+'\\domain2\infrastructure\Users\zingarov\Desktop\[Updated 2016_Filing_Requirements_Chapter2_Appendices.xlsm]App.2-CK MIFRS_DepExp_2016'!K52+((C52*0.5)/D52))</f>
    </nc>
  </rcc>
  <rcc rId="461" sId="6" numFmtId="34">
    <oc r="F53">
      <v>0</v>
    </oc>
    <nc r="F53">
      <f>IF(D53=0,'\\domain2\infrastructure\Users\zingarov\Desktop\[Updated 2016_Filing_Requirements_Chapter2_Appendices.xlsm]App.2-CK MIFRS_DepExp_2016'!K53,+'\\domain2\infrastructure\Users\zingarov\Desktop\[Updated 2016_Filing_Requirements_Chapter2_Appendices.xlsm]App.2-CK MIFRS_DepExp_2016'!K53+((C53*0.5)/D53))</f>
    </nc>
  </rcc>
  <rcc rId="462" sId="6" numFmtId="34">
    <oc r="F54">
      <v>-147648.52450651364</v>
    </oc>
    <nc r="F54">
      <f>IF(D54=0,'\\domain2\infrastructure\Users\zingarov\Desktop\[Updated 2016_Filing_Requirements_Chapter2_Appendices.xlsm]App.2-CK MIFRS_DepExp_2016'!K54,+'\\domain2\infrastructure\Users\zingarov\Desktop\[Updated 2016_Filing_Requirements_Chapter2_Appendices.xlsm]App.2-CK MIFRS_DepExp_2016'!K54+((C54*0.5)/D54))</f>
    </nc>
  </rcc>
  <rcc rId="463" sId="6" numFmtId="34">
    <oc r="F57">
      <v>3644728.0071463455</v>
    </oc>
    <nc r="F57">
      <f>F55+F56</f>
    </nc>
  </rcc>
  <rfmt sheetId="6" sqref="G57" start="0" length="0">
    <dxf>
      <numFmt numFmtId="169" formatCode="_-&quot;$&quot;* #,##0_-;\-&quot;$&quot;* #,##0_-;_-&quot;$&quot;* &quot;-&quot;??_-;_-@_-"/>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2389AFB-4210-4458-9BB1-3ECA9C209324}" name="Oana Stefan" id="-1107384985" dateTime="2016-11-03T11:35:1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workbookViewId="0">
      <selection activeCell="H19" sqref="H19"/>
    </sheetView>
  </sheetViews>
  <sheetFormatPr defaultRowHeight="15" x14ac:dyDescent="0.25"/>
  <cols>
    <col min="1" max="3" width="9.140625" style="323"/>
    <col min="4" max="4" width="48.7109375" style="323" customWidth="1"/>
    <col min="5" max="5" width="28.5703125" style="746" customWidth="1"/>
    <col min="6" max="6" width="4.5703125" style="323" customWidth="1"/>
    <col min="7" max="7" width="9.140625" style="323"/>
    <col min="8" max="8" width="48.28515625" style="323" customWidth="1"/>
    <col min="9" max="9" width="29.5703125" style="323" customWidth="1"/>
    <col min="10" max="16384" width="9.140625" style="323"/>
  </cols>
  <sheetData>
    <row r="1" spans="1:22" ht="33.75" x14ac:dyDescent="0.5">
      <c r="A1" s="940" t="s">
        <v>774</v>
      </c>
      <c r="B1" s="747"/>
      <c r="C1" s="747"/>
      <c r="D1" s="747"/>
      <c r="E1" s="322"/>
    </row>
    <row r="2" spans="1:22" x14ac:dyDescent="0.25">
      <c r="A2" s="680"/>
      <c r="B2" s="680"/>
      <c r="C2" s="776"/>
      <c r="D2" s="680"/>
      <c r="E2" s="681"/>
      <c r="F2" s="680"/>
      <c r="G2" s="680"/>
      <c r="H2" s="680"/>
      <c r="I2" s="681"/>
      <c r="J2" s="680"/>
      <c r="K2" s="680"/>
      <c r="L2" s="680"/>
      <c r="M2" s="680"/>
      <c r="N2" s="636"/>
      <c r="O2" s="680"/>
      <c r="P2" s="782"/>
      <c r="Q2" s="680"/>
      <c r="R2" s="680"/>
      <c r="S2" s="680"/>
      <c r="T2" s="680"/>
      <c r="U2" s="680"/>
      <c r="V2" s="680"/>
    </row>
    <row r="3" spans="1:22" x14ac:dyDescent="0.25">
      <c r="A3" s="33">
        <v>1</v>
      </c>
      <c r="B3" s="636" t="s">
        <v>631</v>
      </c>
      <c r="C3" s="636"/>
      <c r="D3" s="321"/>
      <c r="E3" s="681" t="s">
        <v>675</v>
      </c>
      <c r="F3" s="776">
        <v>28</v>
      </c>
      <c r="G3" s="636" t="s">
        <v>632</v>
      </c>
      <c r="H3" s="636"/>
      <c r="I3" s="681" t="s">
        <v>675</v>
      </c>
      <c r="J3" s="680"/>
      <c r="K3" s="680"/>
      <c r="L3" s="680"/>
      <c r="M3" s="680"/>
      <c r="N3" s="636"/>
      <c r="O3" s="680"/>
      <c r="P3" s="782"/>
      <c r="Q3" s="680"/>
      <c r="R3" s="680"/>
      <c r="S3" s="680"/>
      <c r="T3" s="680"/>
      <c r="U3" s="680"/>
      <c r="V3" s="680"/>
    </row>
    <row r="4" spans="1:22" x14ac:dyDescent="0.25">
      <c r="A4" s="776">
        <v>2</v>
      </c>
      <c r="B4" s="636" t="s">
        <v>633</v>
      </c>
      <c r="C4" s="636"/>
      <c r="D4" s="636"/>
      <c r="E4" s="681" t="s">
        <v>675</v>
      </c>
      <c r="F4" s="776">
        <v>29</v>
      </c>
      <c r="G4" s="636" t="s">
        <v>634</v>
      </c>
      <c r="H4" s="636"/>
      <c r="I4" s="681" t="s">
        <v>675</v>
      </c>
      <c r="J4" s="680"/>
      <c r="K4" s="680"/>
      <c r="L4" s="680"/>
      <c r="M4" s="680"/>
      <c r="N4" s="636"/>
      <c r="O4" s="680"/>
      <c r="P4" s="782"/>
      <c r="Q4" s="680"/>
      <c r="R4" s="680"/>
      <c r="S4" s="680"/>
      <c r="T4" s="680"/>
      <c r="U4" s="680"/>
      <c r="V4" s="680"/>
    </row>
    <row r="5" spans="1:22" x14ac:dyDescent="0.25">
      <c r="A5" s="776">
        <v>3</v>
      </c>
      <c r="B5" s="323" t="s">
        <v>635</v>
      </c>
      <c r="C5" s="680"/>
      <c r="D5" s="680"/>
      <c r="E5" s="681" t="s">
        <v>676</v>
      </c>
      <c r="F5" s="776">
        <v>30</v>
      </c>
      <c r="G5" s="636" t="s">
        <v>636</v>
      </c>
      <c r="H5" s="636"/>
      <c r="I5" s="681" t="s">
        <v>675</v>
      </c>
      <c r="J5" s="680"/>
      <c r="K5" s="680"/>
      <c r="L5" s="680"/>
      <c r="M5" s="680"/>
      <c r="N5" s="636"/>
      <c r="O5" s="680"/>
      <c r="P5" s="782"/>
    </row>
    <row r="6" spans="1:22" x14ac:dyDescent="0.25">
      <c r="A6" s="776">
        <v>4</v>
      </c>
      <c r="B6" s="323" t="s">
        <v>637</v>
      </c>
      <c r="C6" s="680"/>
      <c r="D6" s="680"/>
      <c r="E6" s="681" t="s">
        <v>676</v>
      </c>
      <c r="F6" s="776">
        <v>31</v>
      </c>
      <c r="G6" s="323" t="s">
        <v>638</v>
      </c>
      <c r="H6" s="680"/>
      <c r="I6" s="681" t="s">
        <v>676</v>
      </c>
      <c r="J6" s="680"/>
      <c r="K6" s="680"/>
      <c r="L6" s="680"/>
      <c r="M6" s="680"/>
      <c r="N6" s="636"/>
      <c r="O6" s="680"/>
      <c r="P6" s="782"/>
    </row>
    <row r="7" spans="1:22" x14ac:dyDescent="0.25">
      <c r="A7" s="776">
        <v>5</v>
      </c>
      <c r="B7" s="636" t="s">
        <v>639</v>
      </c>
      <c r="C7" s="636"/>
      <c r="D7" s="636"/>
      <c r="E7" s="681" t="s">
        <v>675</v>
      </c>
      <c r="F7" s="776">
        <v>32</v>
      </c>
      <c r="G7" s="636" t="s">
        <v>640</v>
      </c>
      <c r="H7" s="636"/>
      <c r="I7" s="681" t="s">
        <v>675</v>
      </c>
      <c r="J7" s="680"/>
      <c r="K7" s="680"/>
      <c r="L7" s="680"/>
      <c r="M7" s="680"/>
      <c r="N7" s="636"/>
      <c r="O7" s="680"/>
      <c r="P7" s="782"/>
    </row>
    <row r="8" spans="1:22" x14ac:dyDescent="0.25">
      <c r="A8" s="776">
        <v>6</v>
      </c>
      <c r="B8" s="323" t="s">
        <v>641</v>
      </c>
      <c r="C8" s="680"/>
      <c r="D8" s="680"/>
      <c r="E8" s="681" t="s">
        <v>676</v>
      </c>
      <c r="F8" s="776">
        <v>33</v>
      </c>
      <c r="G8" s="323" t="s">
        <v>642</v>
      </c>
      <c r="H8" s="680"/>
      <c r="I8" s="681" t="s">
        <v>676</v>
      </c>
      <c r="J8" s="680"/>
      <c r="K8" s="680"/>
      <c r="L8" s="680"/>
      <c r="M8" s="680"/>
      <c r="N8" s="636"/>
      <c r="O8" s="680"/>
      <c r="P8" s="782"/>
    </row>
    <row r="9" spans="1:22" x14ac:dyDescent="0.25">
      <c r="A9" s="776">
        <v>7</v>
      </c>
      <c r="B9" s="323" t="s">
        <v>643</v>
      </c>
      <c r="C9" s="680"/>
      <c r="D9" s="680"/>
      <c r="E9" s="681" t="s">
        <v>676</v>
      </c>
      <c r="F9" s="776">
        <v>34</v>
      </c>
      <c r="G9" s="323" t="s">
        <v>644</v>
      </c>
      <c r="H9" s="680"/>
      <c r="I9" s="681" t="s">
        <v>676</v>
      </c>
      <c r="J9" s="680"/>
      <c r="K9" s="680"/>
      <c r="L9" s="680"/>
      <c r="M9" s="680"/>
      <c r="N9" s="636"/>
      <c r="O9" s="680"/>
      <c r="P9" s="782"/>
    </row>
    <row r="10" spans="1:22" x14ac:dyDescent="0.25">
      <c r="A10" s="776">
        <v>8</v>
      </c>
      <c r="B10" s="323" t="s">
        <v>645</v>
      </c>
      <c r="C10" s="680"/>
      <c r="D10" s="680"/>
      <c r="E10" s="681" t="s">
        <v>676</v>
      </c>
      <c r="F10" s="776">
        <v>35</v>
      </c>
      <c r="G10" s="636" t="s">
        <v>646</v>
      </c>
      <c r="H10" s="636"/>
      <c r="I10" s="681" t="s">
        <v>675</v>
      </c>
      <c r="J10" s="680"/>
      <c r="K10" s="680"/>
      <c r="L10" s="680"/>
      <c r="M10" s="680"/>
      <c r="N10" s="636"/>
      <c r="O10" s="680"/>
      <c r="P10" s="782"/>
    </row>
    <row r="11" spans="1:22" x14ac:dyDescent="0.25">
      <c r="A11" s="776">
        <v>9</v>
      </c>
      <c r="B11" s="323" t="s">
        <v>647</v>
      </c>
      <c r="C11" s="680"/>
      <c r="D11" s="680"/>
      <c r="E11" s="681" t="s">
        <v>676</v>
      </c>
      <c r="F11" s="776">
        <v>36</v>
      </c>
      <c r="G11" s="323" t="s">
        <v>648</v>
      </c>
      <c r="H11" s="680"/>
      <c r="I11" s="681" t="s">
        <v>676</v>
      </c>
      <c r="J11" s="680"/>
      <c r="K11" s="680"/>
      <c r="L11" s="680"/>
      <c r="M11" s="713"/>
      <c r="N11" s="636"/>
      <c r="O11" s="680"/>
      <c r="P11" s="782"/>
    </row>
    <row r="12" spans="1:22" x14ac:dyDescent="0.25">
      <c r="A12" s="776">
        <v>10</v>
      </c>
      <c r="B12" s="323" t="s">
        <v>649</v>
      </c>
      <c r="C12" s="680"/>
      <c r="D12" s="680"/>
      <c r="E12" s="681" t="s">
        <v>676</v>
      </c>
      <c r="F12" s="776">
        <v>37</v>
      </c>
      <c r="G12" s="636" t="s">
        <v>650</v>
      </c>
      <c r="H12" s="636"/>
      <c r="I12" s="681" t="s">
        <v>675</v>
      </c>
      <c r="J12" s="680"/>
      <c r="K12" s="680"/>
      <c r="L12" s="680"/>
      <c r="M12" s="713"/>
      <c r="N12" s="636"/>
      <c r="O12" s="680"/>
      <c r="P12" s="781"/>
    </row>
    <row r="13" spans="1:22" x14ac:dyDescent="0.25">
      <c r="A13" s="776">
        <v>11</v>
      </c>
      <c r="B13" s="323" t="s">
        <v>651</v>
      </c>
      <c r="C13" s="680"/>
      <c r="D13" s="680"/>
      <c r="E13" s="681" t="s">
        <v>676</v>
      </c>
      <c r="F13" s="776">
        <v>38</v>
      </c>
      <c r="G13" s="636" t="s">
        <v>652</v>
      </c>
      <c r="H13" s="636"/>
      <c r="I13" s="681" t="s">
        <v>675</v>
      </c>
      <c r="J13" s="680"/>
      <c r="K13" s="680"/>
      <c r="L13" s="680"/>
      <c r="M13" s="713"/>
      <c r="N13" s="636"/>
      <c r="O13" s="680"/>
      <c r="P13" s="781"/>
    </row>
    <row r="14" spans="1:22" x14ac:dyDescent="0.25">
      <c r="A14" s="776">
        <v>12</v>
      </c>
      <c r="B14" s="323" t="s">
        <v>654</v>
      </c>
      <c r="C14" s="680"/>
      <c r="D14" s="680"/>
      <c r="E14" s="681" t="s">
        <v>676</v>
      </c>
      <c r="F14" s="776">
        <v>39</v>
      </c>
      <c r="G14" s="323" t="s">
        <v>653</v>
      </c>
      <c r="H14" s="780"/>
      <c r="I14" s="681" t="s">
        <v>123</v>
      </c>
      <c r="J14" s="680"/>
      <c r="K14" s="680"/>
      <c r="L14" s="680"/>
      <c r="M14" s="713"/>
      <c r="N14" s="636"/>
      <c r="O14" s="680"/>
      <c r="P14" s="781"/>
    </row>
    <row r="15" spans="1:22" x14ac:dyDescent="0.25">
      <c r="A15" s="776">
        <v>13</v>
      </c>
      <c r="B15" s="323" t="s">
        <v>656</v>
      </c>
      <c r="C15" s="680"/>
      <c r="D15" s="680"/>
      <c r="E15" s="681" t="s">
        <v>676</v>
      </c>
      <c r="F15" s="776">
        <v>40</v>
      </c>
      <c r="G15" s="636" t="s">
        <v>655</v>
      </c>
      <c r="H15" s="636"/>
      <c r="I15" s="681" t="s">
        <v>678</v>
      </c>
      <c r="J15" s="680"/>
      <c r="K15" s="680"/>
      <c r="L15" s="680"/>
      <c r="M15" s="713"/>
      <c r="N15" s="636"/>
      <c r="O15" s="680"/>
      <c r="P15" s="781"/>
    </row>
    <row r="16" spans="1:22" x14ac:dyDescent="0.25">
      <c r="A16" s="776">
        <v>14</v>
      </c>
      <c r="B16" s="323" t="s">
        <v>658</v>
      </c>
      <c r="C16" s="779"/>
      <c r="D16" s="680"/>
      <c r="E16" s="681" t="s">
        <v>676</v>
      </c>
      <c r="F16" s="776">
        <v>41</v>
      </c>
      <c r="G16" s="323" t="s">
        <v>657</v>
      </c>
      <c r="H16" s="680"/>
      <c r="I16" s="681" t="s">
        <v>123</v>
      </c>
      <c r="J16" s="680"/>
      <c r="K16" s="680"/>
      <c r="L16" s="680"/>
      <c r="M16" s="713"/>
      <c r="N16" s="636"/>
      <c r="O16" s="680"/>
      <c r="P16" s="781"/>
    </row>
    <row r="17" spans="1:16" x14ac:dyDescent="0.25">
      <c r="A17" s="776">
        <v>15</v>
      </c>
      <c r="B17" s="323" t="s">
        <v>660</v>
      </c>
      <c r="C17" s="680"/>
      <c r="D17" s="680"/>
      <c r="E17" s="681" t="s">
        <v>676</v>
      </c>
      <c r="F17" s="776">
        <v>42</v>
      </c>
      <c r="G17" s="323" t="s">
        <v>659</v>
      </c>
      <c r="H17" s="680"/>
      <c r="I17" s="681" t="s">
        <v>676</v>
      </c>
      <c r="J17" s="680"/>
      <c r="K17" s="680"/>
      <c r="L17" s="680"/>
      <c r="M17" s="713"/>
      <c r="N17" s="636"/>
      <c r="O17" s="680"/>
      <c r="P17" s="636"/>
    </row>
    <row r="18" spans="1:16" x14ac:dyDescent="0.25">
      <c r="A18" s="776">
        <v>16</v>
      </c>
      <c r="B18" s="636" t="s">
        <v>662</v>
      </c>
      <c r="C18" s="778"/>
      <c r="D18" s="636"/>
      <c r="E18" s="681" t="s">
        <v>675</v>
      </c>
      <c r="F18" s="776">
        <v>43</v>
      </c>
      <c r="G18" s="323" t="s">
        <v>661</v>
      </c>
      <c r="H18" s="680"/>
      <c r="I18" s="681" t="s">
        <v>676</v>
      </c>
      <c r="J18" s="777"/>
      <c r="K18" s="680"/>
      <c r="L18" s="680"/>
      <c r="M18" s="713"/>
      <c r="N18" s="636"/>
      <c r="O18" s="680"/>
      <c r="P18" s="636"/>
    </row>
    <row r="19" spans="1:16" x14ac:dyDescent="0.25">
      <c r="A19" s="776">
        <v>17</v>
      </c>
      <c r="B19" s="636" t="s">
        <v>677</v>
      </c>
      <c r="C19" s="778"/>
      <c r="D19" s="636"/>
      <c r="E19" s="681" t="s">
        <v>675</v>
      </c>
      <c r="F19" s="776">
        <v>44</v>
      </c>
      <c r="G19" s="636" t="s">
        <v>663</v>
      </c>
      <c r="H19" s="636"/>
      <c r="I19" s="681" t="s">
        <v>678</v>
      </c>
      <c r="J19" s="777"/>
      <c r="K19" s="680"/>
      <c r="L19" s="680"/>
      <c r="M19" s="713"/>
      <c r="N19" s="636"/>
      <c r="O19" s="680"/>
      <c r="P19" s="636"/>
    </row>
    <row r="20" spans="1:16" x14ac:dyDescent="0.25">
      <c r="A20" s="776">
        <v>18</v>
      </c>
      <c r="B20" s="323" t="s">
        <v>664</v>
      </c>
      <c r="C20" s="777"/>
      <c r="D20" s="680"/>
      <c r="E20" s="681" t="s">
        <v>676</v>
      </c>
      <c r="F20" s="776">
        <v>45</v>
      </c>
      <c r="G20" s="636" t="s">
        <v>665</v>
      </c>
      <c r="H20" s="636"/>
      <c r="I20" s="681" t="s">
        <v>675</v>
      </c>
      <c r="J20" s="680"/>
      <c r="K20" s="680"/>
      <c r="L20" s="680"/>
      <c r="M20" s="713"/>
      <c r="N20" s="636"/>
      <c r="O20" s="680"/>
      <c r="P20" s="636"/>
    </row>
    <row r="21" spans="1:16" x14ac:dyDescent="0.25">
      <c r="A21" s="776">
        <v>19</v>
      </c>
      <c r="B21" s="323" t="s">
        <v>666</v>
      </c>
      <c r="C21" s="777"/>
      <c r="D21" s="680"/>
      <c r="E21" s="681" t="s">
        <v>676</v>
      </c>
      <c r="F21" s="776">
        <v>46</v>
      </c>
      <c r="G21" s="323" t="s">
        <v>667</v>
      </c>
      <c r="H21" s="680"/>
      <c r="I21" s="681" t="s">
        <v>679</v>
      </c>
      <c r="J21" s="777"/>
      <c r="K21" s="680"/>
      <c r="L21" s="680"/>
      <c r="M21" s="680"/>
      <c r="N21" s="636"/>
      <c r="O21" s="680"/>
      <c r="P21" s="636"/>
    </row>
    <row r="22" spans="1:16" x14ac:dyDescent="0.25">
      <c r="A22" s="776">
        <v>20</v>
      </c>
      <c r="B22" s="323" t="s">
        <v>668</v>
      </c>
      <c r="C22" s="777"/>
      <c r="D22" s="680"/>
      <c r="E22" s="681" t="s">
        <v>123</v>
      </c>
      <c r="F22" s="776">
        <v>47</v>
      </c>
      <c r="G22" s="323" t="s">
        <v>669</v>
      </c>
      <c r="H22" s="680"/>
      <c r="I22" s="681" t="s">
        <v>679</v>
      </c>
      <c r="J22" s="777"/>
      <c r="K22" s="680"/>
      <c r="L22" s="680"/>
      <c r="M22" s="680"/>
      <c r="N22" s="636"/>
      <c r="O22" s="680"/>
      <c r="P22" s="636"/>
    </row>
    <row r="23" spans="1:16" x14ac:dyDescent="0.25">
      <c r="A23" s="776">
        <v>21</v>
      </c>
      <c r="B23" s="323" t="s">
        <v>670</v>
      </c>
      <c r="C23" s="775"/>
      <c r="D23" s="680"/>
      <c r="E23" s="681" t="s">
        <v>123</v>
      </c>
      <c r="F23" s="776">
        <v>48</v>
      </c>
      <c r="G23" s="323" t="s">
        <v>671</v>
      </c>
      <c r="H23" s="680"/>
      <c r="I23" s="681" t="s">
        <v>676</v>
      </c>
      <c r="J23" s="777"/>
      <c r="K23" s="680"/>
      <c r="L23" s="680"/>
      <c r="M23" s="680"/>
      <c r="N23" s="636"/>
      <c r="O23" s="680"/>
      <c r="P23" s="636"/>
    </row>
    <row r="24" spans="1:16" x14ac:dyDescent="0.25">
      <c r="A24" s="776">
        <v>22</v>
      </c>
      <c r="B24" s="323" t="s">
        <v>672</v>
      </c>
      <c r="C24" s="777"/>
      <c r="D24" s="680"/>
      <c r="E24" s="681" t="s">
        <v>123</v>
      </c>
      <c r="F24" s="776"/>
      <c r="H24" s="680"/>
      <c r="I24" s="681"/>
      <c r="J24" s="680"/>
      <c r="K24" s="680"/>
      <c r="L24" s="680"/>
      <c r="M24" s="680"/>
      <c r="N24" s="636"/>
      <c r="O24" s="680"/>
      <c r="P24" s="636"/>
    </row>
    <row r="25" spans="1:16" ht="46.5" customHeight="1" x14ac:dyDescent="0.25">
      <c r="A25" s="744">
        <v>23</v>
      </c>
      <c r="B25" s="1033" t="s">
        <v>673</v>
      </c>
      <c r="C25" s="1033"/>
      <c r="D25" s="1033"/>
      <c r="E25" s="748" t="s">
        <v>123</v>
      </c>
      <c r="F25" s="776"/>
      <c r="H25" s="680"/>
      <c r="I25" s="680"/>
      <c r="J25" s="777"/>
      <c r="K25" s="680"/>
      <c r="L25" s="680"/>
      <c r="M25" s="680"/>
      <c r="N25" s="636"/>
      <c r="O25" s="680"/>
      <c r="P25" s="636"/>
    </row>
    <row r="26" spans="1:16" ht="28.5" customHeight="1" x14ac:dyDescent="0.25">
      <c r="A26" s="744">
        <v>24</v>
      </c>
      <c r="B26" s="1033" t="s">
        <v>674</v>
      </c>
      <c r="C26" s="1033"/>
      <c r="D26" s="1033"/>
      <c r="E26" s="748" t="s">
        <v>123</v>
      </c>
      <c r="F26" s="776"/>
      <c r="H26" s="680"/>
      <c r="I26" s="680"/>
      <c r="J26" s="777"/>
      <c r="K26" s="680"/>
      <c r="L26" s="680"/>
      <c r="M26" s="680"/>
      <c r="N26" s="636"/>
      <c r="O26" s="680"/>
      <c r="P26" s="636"/>
    </row>
    <row r="27" spans="1:16" x14ac:dyDescent="0.25">
      <c r="A27" s="745">
        <v>25</v>
      </c>
      <c r="B27" s="323" t="s">
        <v>627</v>
      </c>
      <c r="C27" s="680"/>
      <c r="D27" s="636"/>
      <c r="E27" s="681" t="s">
        <v>676</v>
      </c>
      <c r="F27" s="776"/>
      <c r="H27" s="680"/>
      <c r="I27" s="680"/>
      <c r="J27" s="777"/>
      <c r="K27" s="680"/>
      <c r="L27" s="680"/>
      <c r="M27" s="680"/>
      <c r="N27" s="636"/>
      <c r="O27" s="680"/>
      <c r="P27" s="636"/>
    </row>
    <row r="28" spans="1:16" x14ac:dyDescent="0.25">
      <c r="A28" s="776">
        <v>26</v>
      </c>
      <c r="B28" s="636" t="s">
        <v>628</v>
      </c>
      <c r="C28" s="321"/>
      <c r="D28" s="636"/>
      <c r="E28" s="681" t="s">
        <v>675</v>
      </c>
      <c r="F28" s="776"/>
      <c r="G28" s="776"/>
      <c r="H28" s="680"/>
      <c r="I28" s="680"/>
      <c r="J28" s="775"/>
      <c r="K28" s="680"/>
      <c r="L28" s="680"/>
      <c r="M28" s="680"/>
      <c r="N28" s="636"/>
      <c r="O28" s="680"/>
      <c r="P28" s="636"/>
    </row>
    <row r="29" spans="1:16" x14ac:dyDescent="0.25">
      <c r="A29" s="776">
        <v>27</v>
      </c>
      <c r="B29" s="636" t="s">
        <v>629</v>
      </c>
      <c r="C29" s="680"/>
      <c r="D29" s="776"/>
      <c r="E29" s="681" t="s">
        <v>675</v>
      </c>
      <c r="F29" s="776"/>
      <c r="G29" s="636"/>
      <c r="H29" s="776"/>
      <c r="I29" s="776"/>
      <c r="J29" s="680"/>
      <c r="K29" s="680"/>
      <c r="L29" s="680"/>
      <c r="M29" s="680"/>
      <c r="N29" s="636"/>
      <c r="O29" s="680"/>
      <c r="P29" s="636"/>
    </row>
    <row r="30" spans="1:16" x14ac:dyDescent="0.25">
      <c r="A30" s="745">
        <v>28</v>
      </c>
      <c r="B30" s="636" t="s">
        <v>630</v>
      </c>
      <c r="C30" s="680"/>
      <c r="D30" s="680"/>
      <c r="E30" s="681" t="s">
        <v>675</v>
      </c>
      <c r="F30" s="680"/>
      <c r="G30" s="680"/>
      <c r="H30" s="680"/>
      <c r="I30" s="776"/>
      <c r="J30" s="680"/>
      <c r="K30" s="680"/>
      <c r="L30" s="680"/>
      <c r="M30" s="680"/>
      <c r="N30" s="636"/>
      <c r="O30" s="680"/>
      <c r="P30" s="636"/>
    </row>
    <row r="31" spans="1:16" x14ac:dyDescent="0.25">
      <c r="A31" s="776"/>
      <c r="B31" s="680"/>
      <c r="C31" s="776"/>
      <c r="D31" s="776"/>
      <c r="E31" s="681"/>
      <c r="F31" s="776"/>
      <c r="G31" s="776"/>
      <c r="H31" s="776"/>
      <c r="I31" s="776"/>
      <c r="J31" s="680"/>
      <c r="K31" s="680"/>
      <c r="L31" s="680"/>
      <c r="M31" s="680"/>
      <c r="N31" s="636"/>
      <c r="O31" s="680"/>
      <c r="P31" s="636"/>
    </row>
    <row r="32" spans="1:16" x14ac:dyDescent="0.25">
      <c r="A32" s="776"/>
      <c r="B32" s="680"/>
      <c r="C32" s="776"/>
      <c r="D32" s="776"/>
      <c r="E32" s="681"/>
      <c r="F32" s="776"/>
      <c r="G32" s="776"/>
      <c r="H32" s="776"/>
      <c r="I32" s="776"/>
      <c r="J32" s="680"/>
      <c r="K32" s="680"/>
      <c r="L32" s="680"/>
      <c r="M32" s="680"/>
      <c r="N32" s="636"/>
      <c r="O32" s="680"/>
      <c r="P32" s="636"/>
    </row>
    <row r="33" spans="1:16" x14ac:dyDescent="0.25">
      <c r="A33" s="776"/>
      <c r="B33" s="680"/>
      <c r="C33" s="776"/>
      <c r="D33" s="776"/>
      <c r="E33" s="681"/>
      <c r="F33" s="776"/>
      <c r="G33" s="774"/>
      <c r="H33" s="776"/>
      <c r="I33" s="776"/>
      <c r="J33" s="680"/>
      <c r="K33" s="680"/>
      <c r="L33" s="680"/>
      <c r="M33" s="680"/>
      <c r="N33" s="636"/>
      <c r="O33" s="680"/>
      <c r="P33" s="636"/>
    </row>
    <row r="34" spans="1:16" x14ac:dyDescent="0.25">
      <c r="A34" s="776"/>
      <c r="B34" s="680"/>
      <c r="C34" s="776"/>
      <c r="D34" s="776"/>
      <c r="E34" s="681"/>
      <c r="F34" s="680"/>
      <c r="G34" s="680"/>
      <c r="H34" s="776"/>
      <c r="I34" s="776"/>
      <c r="J34" s="680"/>
      <c r="K34" s="680"/>
      <c r="L34" s="680"/>
      <c r="M34" s="680"/>
      <c r="N34" s="636"/>
      <c r="O34" s="680"/>
      <c r="P34" s="636"/>
    </row>
    <row r="35" spans="1:16" x14ac:dyDescent="0.25">
      <c r="A35" s="776"/>
      <c r="B35" s="680"/>
      <c r="C35" s="680"/>
      <c r="D35" s="636"/>
      <c r="E35" s="681"/>
      <c r="F35" s="680"/>
      <c r="G35" s="680"/>
      <c r="H35" s="680"/>
      <c r="I35" s="680"/>
      <c r="J35" s="680"/>
      <c r="K35" s="680"/>
      <c r="L35" s="680"/>
      <c r="M35" s="680"/>
      <c r="N35" s="636"/>
      <c r="O35" s="680"/>
      <c r="P35" s="636"/>
    </row>
    <row r="36" spans="1:16" x14ac:dyDescent="0.25">
      <c r="A36" s="776"/>
      <c r="B36" s="680"/>
      <c r="C36" s="680"/>
      <c r="D36" s="636"/>
      <c r="E36" s="681"/>
      <c r="F36" s="680"/>
      <c r="G36" s="680"/>
      <c r="H36" s="680"/>
      <c r="I36" s="680"/>
      <c r="J36" s="680"/>
      <c r="K36" s="680"/>
      <c r="L36" s="680"/>
      <c r="M36" s="680"/>
      <c r="N36" s="636"/>
      <c r="O36" s="680"/>
      <c r="P36" s="636"/>
    </row>
    <row r="37" spans="1:16" x14ac:dyDescent="0.25">
      <c r="D37" s="636"/>
      <c r="E37" s="681"/>
      <c r="F37" s="680"/>
      <c r="G37" s="680"/>
      <c r="H37" s="680"/>
      <c r="I37" s="680"/>
      <c r="J37" s="680"/>
      <c r="K37" s="680"/>
      <c r="L37" s="680"/>
      <c r="M37" s="680"/>
      <c r="N37" s="636"/>
      <c r="O37" s="680"/>
      <c r="P37" s="636"/>
    </row>
    <row r="38" spans="1:16" x14ac:dyDescent="0.25">
      <c r="D38" s="636"/>
      <c r="E38" s="681"/>
      <c r="F38" s="680"/>
      <c r="G38" s="680"/>
      <c r="H38" s="680"/>
      <c r="I38" s="680"/>
      <c r="J38" s="680"/>
      <c r="K38" s="680"/>
      <c r="L38" s="680"/>
      <c r="M38" s="680"/>
      <c r="N38" s="636"/>
      <c r="O38" s="680"/>
      <c r="P38" s="636"/>
    </row>
    <row r="39" spans="1:16" x14ac:dyDescent="0.25">
      <c r="D39" s="636"/>
      <c r="E39" s="681"/>
      <c r="F39" s="680"/>
      <c r="G39" s="680"/>
      <c r="H39" s="680"/>
      <c r="I39" s="680"/>
      <c r="J39" s="680"/>
      <c r="K39" s="680"/>
      <c r="L39" s="680"/>
      <c r="M39" s="680"/>
      <c r="N39" s="636"/>
      <c r="O39" s="680"/>
      <c r="P39" s="636"/>
    </row>
    <row r="40" spans="1:16" x14ac:dyDescent="0.25">
      <c r="D40" s="636"/>
      <c r="E40" s="681"/>
      <c r="F40" s="680"/>
      <c r="G40" s="680"/>
      <c r="H40" s="680"/>
      <c r="I40" s="680"/>
      <c r="J40" s="680"/>
      <c r="K40" s="680"/>
      <c r="L40" s="680"/>
      <c r="M40" s="680"/>
      <c r="N40" s="636"/>
      <c r="O40" s="680"/>
      <c r="P40" s="636"/>
    </row>
    <row r="41" spans="1:16" x14ac:dyDescent="0.25">
      <c r="D41" s="680"/>
      <c r="E41" s="681"/>
      <c r="F41" s="680"/>
      <c r="G41" s="680"/>
      <c r="H41" s="680"/>
      <c r="I41" s="680"/>
      <c r="J41" s="680"/>
      <c r="K41" s="680"/>
      <c r="L41" s="680"/>
      <c r="M41" s="680"/>
      <c r="N41" s="636"/>
      <c r="O41" s="680"/>
      <c r="P41" s="776"/>
    </row>
    <row r="42" spans="1:16" x14ac:dyDescent="0.25">
      <c r="D42" s="680"/>
      <c r="E42" s="681"/>
      <c r="F42" s="680"/>
      <c r="G42" s="680"/>
      <c r="H42" s="680"/>
      <c r="I42" s="680"/>
      <c r="J42" s="680"/>
      <c r="K42" s="680"/>
      <c r="L42" s="680"/>
      <c r="M42" s="680"/>
      <c r="N42" s="636"/>
      <c r="O42" s="680"/>
      <c r="P42" s="680"/>
    </row>
    <row r="43" spans="1:16" x14ac:dyDescent="0.25">
      <c r="D43" s="680"/>
      <c r="E43" s="681"/>
      <c r="F43" s="680"/>
      <c r="G43" s="680"/>
      <c r="H43" s="680"/>
      <c r="I43" s="680"/>
      <c r="J43" s="680"/>
      <c r="K43" s="680"/>
      <c r="L43" s="680"/>
      <c r="M43" s="680"/>
      <c r="N43" s="636"/>
      <c r="O43" s="680"/>
      <c r="P43" s="680"/>
    </row>
    <row r="44" spans="1:16" x14ac:dyDescent="0.25">
      <c r="D44" s="680"/>
      <c r="E44" s="681"/>
      <c r="F44" s="680"/>
      <c r="G44" s="680"/>
      <c r="H44" s="680"/>
      <c r="I44" s="680"/>
      <c r="J44" s="680"/>
      <c r="K44" s="680"/>
      <c r="L44" s="680"/>
      <c r="M44" s="680"/>
      <c r="N44" s="636"/>
      <c r="O44" s="680"/>
      <c r="P44" s="680"/>
    </row>
    <row r="45" spans="1:16" x14ac:dyDescent="0.25">
      <c r="D45" s="680"/>
      <c r="E45" s="681"/>
      <c r="F45" s="680"/>
      <c r="G45" s="680"/>
      <c r="H45" s="680"/>
      <c r="I45" s="680"/>
      <c r="J45" s="680"/>
      <c r="K45" s="680"/>
      <c r="L45" s="680"/>
      <c r="M45" s="680"/>
      <c r="N45" s="680"/>
      <c r="O45" s="680"/>
      <c r="P45" s="680"/>
    </row>
    <row r="46" spans="1:16" x14ac:dyDescent="0.25">
      <c r="D46" s="680"/>
      <c r="E46" s="681"/>
      <c r="F46" s="680"/>
      <c r="G46" s="680"/>
      <c r="H46" s="680"/>
      <c r="I46" s="680"/>
      <c r="J46" s="680"/>
      <c r="K46" s="680"/>
      <c r="L46" s="680"/>
      <c r="M46" s="680"/>
      <c r="N46" s="680"/>
      <c r="O46" s="680"/>
      <c r="P46" s="680"/>
    </row>
    <row r="47" spans="1:16" x14ac:dyDescent="0.25">
      <c r="D47" s="680"/>
      <c r="E47" s="681"/>
      <c r="F47" s="680"/>
      <c r="G47" s="680"/>
      <c r="H47" s="680"/>
      <c r="I47" s="680"/>
      <c r="J47" s="680"/>
      <c r="K47" s="680"/>
      <c r="L47" s="680"/>
      <c r="M47" s="680"/>
      <c r="N47" s="680"/>
      <c r="O47" s="680"/>
      <c r="P47" s="680"/>
    </row>
  </sheetData>
  <customSheetViews>
    <customSheetView guid="{FEE3C04B-CD27-4551-A1CF-8272225D231B}">
      <selection activeCell="H19" sqref="H19"/>
      <pageMargins left="0.7" right="0.7" top="0.75" bottom="0.75" header="0.3" footer="0.3"/>
      <pageSetup orientation="portrait" r:id="rId1"/>
    </customSheetView>
    <customSheetView guid="{957A2981-C0FE-4A89-90AC-F40944F7258F}">
      <selection activeCell="H19" sqref="H19"/>
      <pageMargins left="0.7" right="0.7" top="0.75" bottom="0.75" header="0.3" footer="0.3"/>
      <pageSetup orientation="portrait" r:id="rId2"/>
    </customSheetView>
    <customSheetView guid="{AE01795C-0F1A-4D22-B411-4CB1D681CFC8}">
      <selection activeCell="H19" sqref="H19"/>
      <pageMargins left="0.7" right="0.7" top="0.75" bottom="0.75" header="0.3" footer="0.3"/>
      <pageSetup orientation="portrait" r:id="rId3"/>
    </customSheetView>
  </customSheetViews>
  <mergeCells count="2">
    <mergeCell ref="B25:D25"/>
    <mergeCell ref="B26:D26"/>
  </mergeCells>
  <hyperlinks>
    <hyperlink ref="B3:D3" location="'App.2-AA Capital Projects'!A1" display="App.2-AA: Capital Projects Table"/>
    <hyperlink ref="B4:D4" location="'App.2-AB Capital Expenditures'!A1" display="App.2-AB: Capital Expenditures"/>
    <hyperlink ref="B7:D7" location="'App.2-BA Fixed Asset Continuity'!A1" display="App.2-BA: Fixed Asset Continuity Schedule"/>
    <hyperlink ref="B18:D18" location="'App.2-CK MIFRS_DepExp_2016'!A1" display="App.2-CK: 2016 Depreciation and Amortization Expense (MIFRS)"/>
    <hyperlink ref="B19:D19" location="'App.2-CL MIFRS_DepExp_2017'!A1" display="App.2-CL: 2017 Depreciation and Amortization Expense (MIFRS)"/>
    <hyperlink ref="B28:D28" location="'App.2-H Other_Oper_Rev'!A1" display="App.2-H: Other Operating Revenue"/>
    <hyperlink ref="G3:H3" location="'App.2-JA_OM&amp;A_Summary_Analys'!A1" display="App.2-JA: OM&amp;A Summary Analysis"/>
    <hyperlink ref="G4:H4" location="'App.2-JB_OM&amp;A_Cost_Drivers'!A1" display="App.2-JB: Recoverable OM&amp;A Cost Driver Table"/>
    <hyperlink ref="G5:H5" location="'App.2-JC_OMA Programs'!A1" display="App.2-JC: OM&amp;A Programs Table"/>
    <hyperlink ref="G7:H7" location="'App.2-L OM&amp;A_per_Cust_FTE'!A1" display="App.2-L: Recoverable OM&amp;A Cost per Customer and per FTE"/>
    <hyperlink ref="G10:H10" location="'App.2-OA Capital Structure'!A1" display="App.2-OA: Capital Structure and Cost of Capital"/>
    <hyperlink ref="G12:H12" location="'App.2-P_Cost_Allocation'!A1" display="App.2-P: Cost Allocation"/>
    <hyperlink ref="G13:H13" location="'App.2-PA_Res_Rate_Design'!A1" display="App.2-PA:  New Rate Design Policy For Residential Customers"/>
    <hyperlink ref="G15:H15" location="'App.2-R_Loss Factors'!A1" display="App.2-R: Loss Factors"/>
    <hyperlink ref="G19:H19" location="'App.2-U_IFRS Transition Costs'!A1" display="App.2-U: One-Time Incremental IFRS Transition Costs"/>
    <hyperlink ref="G20:H20" location="'App.2-V_Rev_Reconciliation'!A1" display="App.2-V: Revenue Reconciliation"/>
    <hyperlink ref="B29" location="'App.2-I LF_CDM'!A1" display="App.2-I: Load Forecast CDM Adjustment Workform"/>
    <hyperlink ref="B30" location="'App.2-IA_Act_Frcst_Data '!A1" display="App.2-IA:  Actual and Forecast Load and Customer Data"/>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election activeCell="F58" sqref="F58"/>
    </sheetView>
  </sheetViews>
  <sheetFormatPr defaultRowHeight="15" x14ac:dyDescent="0.25"/>
  <cols>
    <col min="1" max="1" width="37.28515625" customWidth="1"/>
    <col min="2" max="5" width="10.7109375" bestFit="1" customWidth="1"/>
    <col min="6" max="7" width="11.7109375" bestFit="1" customWidth="1"/>
    <col min="9" max="9" width="11.5703125" customWidth="1"/>
    <col min="10" max="10" width="10.7109375" bestFit="1" customWidth="1"/>
    <col min="11" max="11" width="12.7109375" bestFit="1" customWidth="1"/>
    <col min="12" max="12" width="9.42578125" bestFit="1" customWidth="1"/>
  </cols>
  <sheetData>
    <row r="1" spans="1:12" x14ac:dyDescent="0.25">
      <c r="A1" s="324"/>
      <c r="B1" s="324"/>
      <c r="C1" s="324"/>
      <c r="D1" s="324"/>
      <c r="E1" s="324"/>
      <c r="F1" s="324"/>
      <c r="G1" s="324"/>
      <c r="H1" s="324"/>
      <c r="I1" s="324"/>
      <c r="J1" s="324"/>
      <c r="K1" s="331" t="s">
        <v>0</v>
      </c>
      <c r="L1" s="326">
        <v>0</v>
      </c>
    </row>
    <row r="2" spans="1:12" x14ac:dyDescent="0.25">
      <c r="A2" s="324"/>
      <c r="B2" s="324"/>
      <c r="C2" s="324"/>
      <c r="D2" s="324"/>
      <c r="E2" s="324"/>
      <c r="F2" s="324"/>
      <c r="G2" s="324"/>
      <c r="H2" s="324"/>
      <c r="I2" s="324"/>
      <c r="J2" s="324"/>
      <c r="K2" s="331" t="s">
        <v>1</v>
      </c>
      <c r="L2" s="327"/>
    </row>
    <row r="3" spans="1:12" x14ac:dyDescent="0.25">
      <c r="A3" s="324"/>
      <c r="B3" s="324"/>
      <c r="C3" s="324"/>
      <c r="D3" s="324"/>
      <c r="E3" s="324"/>
      <c r="F3" s="324"/>
      <c r="G3" s="324"/>
      <c r="H3" s="324"/>
      <c r="I3" s="324"/>
      <c r="J3" s="324"/>
      <c r="K3" s="331" t="s">
        <v>2</v>
      </c>
      <c r="L3" s="327"/>
    </row>
    <row r="4" spans="1:12" x14ac:dyDescent="0.25">
      <c r="A4" s="324"/>
      <c r="B4" s="324"/>
      <c r="C4" s="324"/>
      <c r="D4" s="324"/>
      <c r="E4" s="324"/>
      <c r="F4" s="324"/>
      <c r="G4" s="324"/>
      <c r="H4" s="324"/>
      <c r="I4" s="324"/>
      <c r="J4" s="324"/>
      <c r="K4" s="331" t="s">
        <v>3</v>
      </c>
      <c r="L4" s="327"/>
    </row>
    <row r="5" spans="1:12" x14ac:dyDescent="0.25">
      <c r="A5" s="324"/>
      <c r="B5" s="324"/>
      <c r="C5" s="324"/>
      <c r="D5" s="324"/>
      <c r="E5" s="324"/>
      <c r="F5" s="324"/>
      <c r="G5" s="324"/>
      <c r="H5" s="324"/>
      <c r="I5" s="324"/>
      <c r="J5" s="324"/>
      <c r="K5" s="331" t="s">
        <v>4</v>
      </c>
      <c r="L5" s="328"/>
    </row>
    <row r="6" spans="1:12" x14ac:dyDescent="0.25">
      <c r="A6" s="324"/>
      <c r="B6" s="324"/>
      <c r="C6" s="324"/>
      <c r="D6" s="324"/>
      <c r="E6" s="324"/>
      <c r="F6" s="324"/>
      <c r="G6" s="324"/>
      <c r="H6" s="324"/>
      <c r="I6" s="324"/>
      <c r="J6" s="324"/>
      <c r="K6" s="331"/>
      <c r="L6" s="326"/>
    </row>
    <row r="7" spans="1:12" x14ac:dyDescent="0.25">
      <c r="A7" s="324"/>
      <c r="B7" s="324"/>
      <c r="C7" s="324"/>
      <c r="D7" s="324"/>
      <c r="E7" s="324"/>
      <c r="F7" s="324"/>
      <c r="G7" s="324"/>
      <c r="H7" s="324"/>
      <c r="I7" s="324"/>
      <c r="J7" s="324"/>
      <c r="K7" s="331" t="s">
        <v>5</v>
      </c>
      <c r="L7" s="328"/>
    </row>
    <row r="9" spans="1:12" ht="18" x14ac:dyDescent="0.25">
      <c r="A9" s="1159" t="s">
        <v>317</v>
      </c>
      <c r="B9" s="1159"/>
      <c r="C9" s="1159"/>
      <c r="D9" s="1159"/>
      <c r="E9" s="1159"/>
      <c r="F9" s="1159"/>
      <c r="G9" s="1159"/>
      <c r="H9" s="324"/>
      <c r="I9" s="324"/>
      <c r="J9" s="324"/>
      <c r="K9" s="324"/>
      <c r="L9" s="324"/>
    </row>
    <row r="10" spans="1:12" ht="18" x14ac:dyDescent="0.25">
      <c r="A10" s="1159" t="s">
        <v>318</v>
      </c>
      <c r="B10" s="1159"/>
      <c r="C10" s="1159"/>
      <c r="D10" s="1159"/>
      <c r="E10" s="1159"/>
      <c r="F10" s="1159"/>
      <c r="G10" s="1159"/>
      <c r="H10" s="324"/>
      <c r="I10" s="324"/>
      <c r="J10" s="324"/>
      <c r="K10" s="324"/>
      <c r="L10" s="324"/>
    </row>
    <row r="12" spans="1:12" ht="15.75" thickBot="1" x14ac:dyDescent="0.3">
      <c r="A12" s="324"/>
      <c r="B12" s="324"/>
      <c r="C12" s="324"/>
      <c r="D12" s="324"/>
      <c r="E12" s="324"/>
      <c r="F12" s="324"/>
      <c r="G12" s="324"/>
      <c r="H12" s="330"/>
      <c r="I12" s="330"/>
      <c r="J12" s="324"/>
      <c r="K12" s="324"/>
      <c r="L12" s="324"/>
    </row>
    <row r="13" spans="1:12" ht="90" thickBot="1" x14ac:dyDescent="0.3">
      <c r="A13" s="332"/>
      <c r="B13" s="333" t="s">
        <v>319</v>
      </c>
      <c r="C13" s="333" t="s">
        <v>320</v>
      </c>
      <c r="D13" s="333" t="s">
        <v>321</v>
      </c>
      <c r="E13" s="333" t="s">
        <v>322</v>
      </c>
      <c r="F13" s="333" t="s">
        <v>9</v>
      </c>
      <c r="G13" s="334" t="s">
        <v>10</v>
      </c>
      <c r="H13" s="1160"/>
      <c r="I13" s="1160"/>
      <c r="J13" s="335"/>
      <c r="K13" s="335"/>
      <c r="L13" s="324"/>
    </row>
    <row r="14" spans="1:12" ht="24.75" thickBot="1" x14ac:dyDescent="0.3">
      <c r="A14" s="336" t="s">
        <v>11</v>
      </c>
      <c r="B14" s="337" t="s">
        <v>12</v>
      </c>
      <c r="C14" s="337" t="s">
        <v>12</v>
      </c>
      <c r="D14" s="337" t="s">
        <v>12</v>
      </c>
      <c r="E14" s="337" t="s">
        <v>13</v>
      </c>
      <c r="F14" s="337" t="s">
        <v>13</v>
      </c>
      <c r="G14" s="338" t="s">
        <v>13</v>
      </c>
      <c r="H14" s="413"/>
      <c r="I14" s="413"/>
      <c r="J14" s="335"/>
      <c r="K14" s="335"/>
      <c r="L14" s="324"/>
    </row>
    <row r="15" spans="1:12" ht="24" x14ac:dyDescent="0.25">
      <c r="A15" s="339" t="s">
        <v>323</v>
      </c>
      <c r="B15" s="415">
        <v>1232931.25</v>
      </c>
      <c r="C15" s="415">
        <v>1440365.09</v>
      </c>
      <c r="D15" s="415">
        <v>1569559.2599999998</v>
      </c>
      <c r="E15" s="415">
        <v>1551035.2000000002</v>
      </c>
      <c r="F15" s="415">
        <v>1686283.916294612</v>
      </c>
      <c r="G15" s="416">
        <v>1574254.8084514288</v>
      </c>
      <c r="H15" s="340"/>
      <c r="I15" s="340"/>
      <c r="J15" s="335"/>
      <c r="K15" s="335"/>
      <c r="L15" s="324"/>
    </row>
    <row r="16" spans="1:12" ht="24" x14ac:dyDescent="0.25">
      <c r="A16" s="341" t="s">
        <v>324</v>
      </c>
      <c r="B16" s="342">
        <v>2047331.25</v>
      </c>
      <c r="C16" s="342">
        <v>1902706.1900000002</v>
      </c>
      <c r="D16" s="342">
        <v>1668155.2100000002</v>
      </c>
      <c r="E16" s="342">
        <v>1562868.89</v>
      </c>
      <c r="F16" s="342">
        <v>1592668.7997758766</v>
      </c>
      <c r="G16" s="343">
        <v>1625012.1034845796</v>
      </c>
      <c r="H16" s="340"/>
      <c r="I16" s="340"/>
      <c r="J16" s="335"/>
      <c r="K16" s="335"/>
      <c r="L16" s="324"/>
    </row>
    <row r="17" spans="1:11" x14ac:dyDescent="0.25">
      <c r="A17" s="344" t="s">
        <v>325</v>
      </c>
      <c r="B17" s="345">
        <v>3280262.5</v>
      </c>
      <c r="C17" s="345">
        <v>3343071.2800000003</v>
      </c>
      <c r="D17" s="345">
        <v>3237714.4699999997</v>
      </c>
      <c r="E17" s="345">
        <v>3113904.09</v>
      </c>
      <c r="F17" s="345">
        <v>3278952.7160704886</v>
      </c>
      <c r="G17" s="346">
        <v>3199266.9119360084</v>
      </c>
      <c r="H17" s="347"/>
      <c r="I17" s="347"/>
      <c r="J17" s="335"/>
      <c r="K17" s="335"/>
    </row>
    <row r="18" spans="1:11" x14ac:dyDescent="0.25">
      <c r="A18" s="341" t="s">
        <v>326</v>
      </c>
      <c r="B18" s="348"/>
      <c r="C18" s="348"/>
      <c r="D18" s="349">
        <v>-3.1514975654363106E-2</v>
      </c>
      <c r="E18" s="349">
        <v>-3.8240055183124254E-2</v>
      </c>
      <c r="F18" s="349">
        <v>5.300376032791964E-2</v>
      </c>
      <c r="G18" s="350">
        <v>-2.4302212027618383E-2</v>
      </c>
      <c r="H18" s="351"/>
      <c r="I18" s="351"/>
      <c r="J18" s="335"/>
      <c r="K18" s="335"/>
    </row>
    <row r="19" spans="1:11" ht="24.75" thickBot="1" x14ac:dyDescent="0.3">
      <c r="A19" s="341" t="s">
        <v>327</v>
      </c>
      <c r="B19" s="352"/>
      <c r="C19" s="353"/>
      <c r="D19" s="353"/>
      <c r="E19" s="353"/>
      <c r="F19" s="354"/>
      <c r="G19" s="350">
        <v>-4.3015645201556062E-2</v>
      </c>
      <c r="H19" s="351"/>
      <c r="I19" s="351"/>
      <c r="J19" s="335"/>
      <c r="K19" s="335"/>
    </row>
    <row r="20" spans="1:11" x14ac:dyDescent="0.25">
      <c r="A20" s="341" t="s">
        <v>328</v>
      </c>
      <c r="B20" s="415">
        <v>2558831.25</v>
      </c>
      <c r="C20" s="415">
        <v>2577445.7600000002</v>
      </c>
      <c r="D20" s="415">
        <v>2872825.62</v>
      </c>
      <c r="E20" s="415">
        <v>2840393.82</v>
      </c>
      <c r="F20" s="415">
        <v>3224739.570518869</v>
      </c>
      <c r="G20" s="416">
        <v>2962664.5287670242</v>
      </c>
      <c r="H20" s="340"/>
      <c r="I20" s="340"/>
      <c r="J20" s="335"/>
      <c r="K20" s="335"/>
    </row>
    <row r="21" spans="1:11" x14ac:dyDescent="0.25">
      <c r="A21" s="341" t="s">
        <v>329</v>
      </c>
      <c r="B21" s="342">
        <v>97000</v>
      </c>
      <c r="C21" s="342">
        <v>37975.599999999999</v>
      </c>
      <c r="D21" s="342">
        <v>10278.700000000001</v>
      </c>
      <c r="E21" s="342">
        <v>11504.96</v>
      </c>
      <c r="F21" s="342">
        <v>16585</v>
      </c>
      <c r="G21" s="343">
        <v>16452.24344810253</v>
      </c>
      <c r="H21" s="340"/>
      <c r="I21" s="340"/>
      <c r="J21" s="335"/>
      <c r="K21" s="335"/>
    </row>
    <row r="22" spans="1:11" x14ac:dyDescent="0.25">
      <c r="A22" s="341" t="s">
        <v>330</v>
      </c>
      <c r="B22" s="342">
        <v>2917931.25</v>
      </c>
      <c r="C22" s="342">
        <v>2831492.7199999997</v>
      </c>
      <c r="D22" s="342">
        <v>2999741.0599999996</v>
      </c>
      <c r="E22" s="342">
        <v>3146312.9499999993</v>
      </c>
      <c r="F22" s="342">
        <v>4379316.8031757027</v>
      </c>
      <c r="G22" s="343">
        <v>3868250.5494808992</v>
      </c>
      <c r="H22" s="340"/>
      <c r="I22" s="340"/>
      <c r="J22" s="335"/>
      <c r="K22" s="335"/>
    </row>
    <row r="23" spans="1:11" x14ac:dyDescent="0.25">
      <c r="A23" s="344" t="s">
        <v>325</v>
      </c>
      <c r="B23" s="345">
        <v>5573762.5</v>
      </c>
      <c r="C23" s="345">
        <v>5446914.0800000001</v>
      </c>
      <c r="D23" s="345">
        <v>5882845.3799999999</v>
      </c>
      <c r="E23" s="345">
        <v>5998211.7299999986</v>
      </c>
      <c r="F23" s="345">
        <v>7620641.3736945717</v>
      </c>
      <c r="G23" s="346">
        <v>6847367.3216960263</v>
      </c>
      <c r="H23" s="347"/>
      <c r="I23" s="347"/>
      <c r="J23" s="335"/>
      <c r="K23" s="335"/>
    </row>
    <row r="24" spans="1:11" x14ac:dyDescent="0.25">
      <c r="A24" s="341" t="s">
        <v>326</v>
      </c>
      <c r="B24" s="348"/>
      <c r="C24" s="348"/>
      <c r="D24" s="349">
        <v>8.0032710925375894E-2</v>
      </c>
      <c r="E24" s="349">
        <v>1.9610637803300329E-2</v>
      </c>
      <c r="F24" s="349">
        <v>0.27048555748374248</v>
      </c>
      <c r="G24" s="350">
        <v>-0.10147099359219072</v>
      </c>
      <c r="H24" s="351"/>
      <c r="I24" s="351"/>
      <c r="J24" s="335"/>
      <c r="K24" s="335"/>
    </row>
    <row r="25" spans="1:11" ht="24" x14ac:dyDescent="0.25">
      <c r="A25" s="341" t="s">
        <v>327</v>
      </c>
      <c r="B25" s="352"/>
      <c r="C25" s="353"/>
      <c r="D25" s="353"/>
      <c r="E25" s="353"/>
      <c r="F25" s="354"/>
      <c r="G25" s="350">
        <v>0.25710947907884496</v>
      </c>
      <c r="H25" s="351"/>
      <c r="I25" s="351"/>
      <c r="J25" s="335"/>
      <c r="K25" s="335"/>
    </row>
    <row r="26" spans="1:11" x14ac:dyDescent="0.25">
      <c r="A26" s="344" t="s">
        <v>80</v>
      </c>
      <c r="B26" s="345">
        <v>8854025</v>
      </c>
      <c r="C26" s="345">
        <v>8789985.3599999994</v>
      </c>
      <c r="D26" s="345">
        <v>9120559.8499999996</v>
      </c>
      <c r="E26" s="345">
        <v>9112115.8199999984</v>
      </c>
      <c r="F26" s="345">
        <v>10899594.089765061</v>
      </c>
      <c r="G26" s="346">
        <v>10046634.233632036</v>
      </c>
      <c r="H26" s="347"/>
      <c r="I26" s="347"/>
      <c r="J26" s="335"/>
      <c r="K26" s="335"/>
    </row>
    <row r="27" spans="1:11" ht="15.75" thickBot="1" x14ac:dyDescent="0.3">
      <c r="A27" s="355" t="s">
        <v>326</v>
      </c>
      <c r="B27" s="356"/>
      <c r="C27" s="357"/>
      <c r="D27" s="358">
        <v>3.7608081977510852E-2</v>
      </c>
      <c r="E27" s="358">
        <v>-9.2582364886308955E-4</v>
      </c>
      <c r="F27" s="358">
        <v>0.19616500767492029</v>
      </c>
      <c r="G27" s="359">
        <v>-7.8256112026591121E-2</v>
      </c>
      <c r="H27" s="351"/>
      <c r="I27" s="351"/>
      <c r="J27" s="335"/>
      <c r="K27" s="335"/>
    </row>
    <row r="28" spans="1:11" x14ac:dyDescent="0.25">
      <c r="A28" s="325"/>
      <c r="B28" s="360"/>
      <c r="C28" s="360"/>
      <c r="D28" s="361"/>
      <c r="E28" s="361"/>
      <c r="F28" s="361"/>
      <c r="G28" s="360"/>
      <c r="H28" s="362"/>
      <c r="I28" s="417"/>
      <c r="J28" s="335"/>
      <c r="K28" s="335"/>
    </row>
    <row r="29" spans="1:11" ht="15.75" thickBot="1" x14ac:dyDescent="0.3">
      <c r="A29" s="325"/>
      <c r="B29" s="325"/>
      <c r="C29" s="325"/>
      <c r="D29" s="325"/>
      <c r="E29" s="325"/>
      <c r="F29" s="325"/>
      <c r="G29" s="325"/>
      <c r="H29" s="335"/>
      <c r="I29" s="418"/>
      <c r="J29" s="335"/>
      <c r="K29" s="335"/>
    </row>
    <row r="30" spans="1:11" ht="60" x14ac:dyDescent="0.25">
      <c r="A30" s="363"/>
      <c r="B30" s="364" t="s">
        <v>319</v>
      </c>
      <c r="C30" s="364" t="s">
        <v>320</v>
      </c>
      <c r="D30" s="364" t="s">
        <v>321</v>
      </c>
      <c r="E30" s="364" t="s">
        <v>322</v>
      </c>
      <c r="F30" s="364" t="s">
        <v>9</v>
      </c>
      <c r="G30" s="365" t="s">
        <v>10</v>
      </c>
      <c r="H30" s="335"/>
      <c r="I30" s="418"/>
      <c r="J30" s="335"/>
      <c r="K30" s="335"/>
    </row>
    <row r="31" spans="1:11" x14ac:dyDescent="0.25">
      <c r="A31" s="341" t="s">
        <v>323</v>
      </c>
      <c r="B31" s="366">
        <v>1232931.25</v>
      </c>
      <c r="C31" s="366">
        <v>1440365.09</v>
      </c>
      <c r="D31" s="366">
        <v>1569559.2599999998</v>
      </c>
      <c r="E31" s="366">
        <v>1551035.2000000002</v>
      </c>
      <c r="F31" s="366">
        <v>1686283.916294612</v>
      </c>
      <c r="G31" s="367">
        <v>1574254.8084514288</v>
      </c>
      <c r="H31" s="335"/>
      <c r="I31" s="335"/>
      <c r="J31" s="335"/>
      <c r="K31" s="335"/>
    </row>
    <row r="32" spans="1:11" x14ac:dyDescent="0.25">
      <c r="A32" s="341" t="s">
        <v>324</v>
      </c>
      <c r="B32" s="366">
        <v>2047331.25</v>
      </c>
      <c r="C32" s="366">
        <v>1902706.1900000002</v>
      </c>
      <c r="D32" s="366">
        <v>1668155.2100000002</v>
      </c>
      <c r="E32" s="366">
        <v>1562868.89</v>
      </c>
      <c r="F32" s="366">
        <v>1592668.7997758766</v>
      </c>
      <c r="G32" s="367">
        <v>1625012.1034845796</v>
      </c>
      <c r="H32" s="335"/>
      <c r="I32" s="335"/>
      <c r="J32" s="335"/>
      <c r="K32" s="335"/>
    </row>
    <row r="33" spans="1:12" x14ac:dyDescent="0.25">
      <c r="A33" s="341" t="s">
        <v>328</v>
      </c>
      <c r="B33" s="366">
        <v>2558831.25</v>
      </c>
      <c r="C33" s="366">
        <v>2577445.7600000002</v>
      </c>
      <c r="D33" s="366">
        <v>2872825.62</v>
      </c>
      <c r="E33" s="366">
        <v>2840393.82</v>
      </c>
      <c r="F33" s="366">
        <v>3224739.570518869</v>
      </c>
      <c r="G33" s="367">
        <v>2962664.5287670242</v>
      </c>
      <c r="H33" s="335"/>
      <c r="I33" s="335"/>
      <c r="J33" s="335"/>
      <c r="K33" s="335"/>
      <c r="L33" s="324"/>
    </row>
    <row r="34" spans="1:12" x14ac:dyDescent="0.25">
      <c r="A34" s="341" t="s">
        <v>329</v>
      </c>
      <c r="B34" s="366">
        <v>97000</v>
      </c>
      <c r="C34" s="366">
        <v>37975.599999999999</v>
      </c>
      <c r="D34" s="366">
        <v>10278.700000000001</v>
      </c>
      <c r="E34" s="366">
        <v>11504.96</v>
      </c>
      <c r="F34" s="366">
        <v>16585</v>
      </c>
      <c r="G34" s="367">
        <v>16452.24344810253</v>
      </c>
      <c r="H34" s="335"/>
      <c r="I34" s="335"/>
      <c r="J34" s="335"/>
      <c r="K34" s="335"/>
      <c r="L34" s="324"/>
    </row>
    <row r="35" spans="1:12" x14ac:dyDescent="0.25">
      <c r="A35" s="341" t="s">
        <v>330</v>
      </c>
      <c r="B35" s="366">
        <v>2917931.25</v>
      </c>
      <c r="C35" s="366">
        <v>2831492.7199999997</v>
      </c>
      <c r="D35" s="366">
        <v>2999741.0599999996</v>
      </c>
      <c r="E35" s="366">
        <v>3146312.9499999993</v>
      </c>
      <c r="F35" s="366">
        <v>4379316.8031757027</v>
      </c>
      <c r="G35" s="367">
        <v>3868250.5494808992</v>
      </c>
      <c r="H35" s="335"/>
      <c r="I35" s="335"/>
      <c r="J35" s="335"/>
      <c r="K35" s="335"/>
      <c r="L35" s="324"/>
    </row>
    <row r="36" spans="1:12" x14ac:dyDescent="0.25">
      <c r="A36" s="344" t="s">
        <v>80</v>
      </c>
      <c r="B36" s="345">
        <v>8854025</v>
      </c>
      <c r="C36" s="345">
        <v>8789985.3599999994</v>
      </c>
      <c r="D36" s="345">
        <v>9120559.8499999996</v>
      </c>
      <c r="E36" s="345">
        <v>9112115.8200000003</v>
      </c>
      <c r="F36" s="345">
        <v>10899594.089765061</v>
      </c>
      <c r="G36" s="346">
        <v>10046634.233632036</v>
      </c>
      <c r="H36" s="335"/>
      <c r="I36" s="335"/>
      <c r="J36" s="335"/>
      <c r="K36" s="335"/>
      <c r="L36" s="324"/>
    </row>
    <row r="37" spans="1:12" ht="15.75" thickBot="1" x14ac:dyDescent="0.3">
      <c r="A37" s="355" t="s">
        <v>326</v>
      </c>
      <c r="B37" s="356"/>
      <c r="C37" s="357"/>
      <c r="D37" s="358">
        <v>3.7608081977510852E-2</v>
      </c>
      <c r="E37" s="358">
        <v>-9.2582364886288529E-4</v>
      </c>
      <c r="F37" s="358">
        <v>0.19616500767492004</v>
      </c>
      <c r="G37" s="359">
        <v>-7.8256112026591121E-2</v>
      </c>
      <c r="H37" s="335"/>
      <c r="I37" s="335"/>
      <c r="J37" s="335"/>
      <c r="K37" s="335"/>
      <c r="L37" s="324"/>
    </row>
    <row r="38" spans="1:12" x14ac:dyDescent="0.25">
      <c r="A38" s="335"/>
      <c r="B38" s="335"/>
      <c r="C38" s="335"/>
      <c r="D38" s="335"/>
      <c r="E38" s="335"/>
      <c r="F38" s="335"/>
      <c r="G38" s="335"/>
      <c r="H38" s="335"/>
      <c r="I38" s="335"/>
      <c r="J38" s="335"/>
      <c r="K38" s="335"/>
      <c r="L38" s="324"/>
    </row>
    <row r="39" spans="1:12" ht="15.75" thickBot="1" x14ac:dyDescent="0.3">
      <c r="A39" s="335"/>
      <c r="B39" s="335"/>
      <c r="C39" s="335"/>
      <c r="D39" s="335"/>
      <c r="E39" s="335"/>
      <c r="F39" s="335"/>
      <c r="G39" s="335"/>
      <c r="H39" s="335"/>
      <c r="I39" s="335"/>
      <c r="J39" s="335"/>
      <c r="K39" s="335"/>
      <c r="L39" s="324"/>
    </row>
    <row r="40" spans="1:12" ht="60.75" thickBot="1" x14ac:dyDescent="0.3">
      <c r="A40" s="368"/>
      <c r="B40" s="369" t="s">
        <v>319</v>
      </c>
      <c r="C40" s="369" t="s">
        <v>320</v>
      </c>
      <c r="D40" s="369" t="s">
        <v>331</v>
      </c>
      <c r="E40" s="369" t="s">
        <v>321</v>
      </c>
      <c r="F40" s="369" t="s">
        <v>332</v>
      </c>
      <c r="G40" s="369" t="s">
        <v>322</v>
      </c>
      <c r="H40" s="369" t="s">
        <v>333</v>
      </c>
      <c r="I40" s="369" t="s">
        <v>9</v>
      </c>
      <c r="J40" s="369" t="s">
        <v>334</v>
      </c>
      <c r="K40" s="369" t="s">
        <v>10</v>
      </c>
      <c r="L40" s="370" t="s">
        <v>335</v>
      </c>
    </row>
    <row r="41" spans="1:12" x14ac:dyDescent="0.25">
      <c r="A41" s="371" t="s">
        <v>323</v>
      </c>
      <c r="B41" s="372">
        <v>1232931.25</v>
      </c>
      <c r="C41" s="372">
        <v>1440365.09</v>
      </c>
      <c r="D41" s="373">
        <v>-207433.84000000008</v>
      </c>
      <c r="E41" s="373">
        <v>1569559.2599999998</v>
      </c>
      <c r="F41" s="373">
        <v>129194.16999999969</v>
      </c>
      <c r="G41" s="373">
        <v>1551035.2000000002</v>
      </c>
      <c r="H41" s="373">
        <v>-18524.05999999959</v>
      </c>
      <c r="I41" s="373">
        <v>1686283.916294612</v>
      </c>
      <c r="J41" s="373">
        <v>135248.7162946118</v>
      </c>
      <c r="K41" s="373">
        <v>1574254.8084514288</v>
      </c>
      <c r="L41" s="374">
        <v>-112029.10784318321</v>
      </c>
    </row>
    <row r="42" spans="1:12" x14ac:dyDescent="0.25">
      <c r="A42" s="375" t="s">
        <v>336</v>
      </c>
      <c r="B42" s="366">
        <v>2047331.25</v>
      </c>
      <c r="C42" s="366">
        <v>1902706.1900000002</v>
      </c>
      <c r="D42" s="376">
        <v>144625.05999999982</v>
      </c>
      <c r="E42" s="376">
        <v>1668155.2100000002</v>
      </c>
      <c r="F42" s="376">
        <v>-234550.97999999998</v>
      </c>
      <c r="G42" s="376">
        <v>1562868.89</v>
      </c>
      <c r="H42" s="376">
        <v>-105286.3200000003</v>
      </c>
      <c r="I42" s="376">
        <v>1592668.7997758766</v>
      </c>
      <c r="J42" s="376">
        <v>29799.909775876673</v>
      </c>
      <c r="K42" s="376">
        <v>1625012.1034845796</v>
      </c>
      <c r="L42" s="377">
        <v>32343.303708703024</v>
      </c>
    </row>
    <row r="43" spans="1:12" x14ac:dyDescent="0.25">
      <c r="A43" s="375" t="s">
        <v>337</v>
      </c>
      <c r="B43" s="366">
        <v>2558831.25</v>
      </c>
      <c r="C43" s="366">
        <v>2577445.7600000002</v>
      </c>
      <c r="D43" s="376">
        <v>-18614.510000000242</v>
      </c>
      <c r="E43" s="376">
        <v>2872825.62</v>
      </c>
      <c r="F43" s="376">
        <v>295379.85999999987</v>
      </c>
      <c r="G43" s="376">
        <v>2840393.82</v>
      </c>
      <c r="H43" s="376">
        <v>-32431.800000000279</v>
      </c>
      <c r="I43" s="376">
        <v>3224739.570518869</v>
      </c>
      <c r="J43" s="376">
        <v>384345.75051886914</v>
      </c>
      <c r="K43" s="376">
        <v>2962664.5287670242</v>
      </c>
      <c r="L43" s="377">
        <v>-262075.04175184481</v>
      </c>
    </row>
    <row r="44" spans="1:12" x14ac:dyDescent="0.25">
      <c r="A44" s="375" t="s">
        <v>338</v>
      </c>
      <c r="B44" s="366">
        <v>97000</v>
      </c>
      <c r="C44" s="366">
        <v>37975.599999999999</v>
      </c>
      <c r="D44" s="376">
        <v>59024.4</v>
      </c>
      <c r="E44" s="376">
        <v>10278.700000000001</v>
      </c>
      <c r="F44" s="376">
        <v>-27696.899999999998</v>
      </c>
      <c r="G44" s="376">
        <v>11504.96</v>
      </c>
      <c r="H44" s="376">
        <v>1226.2599999999984</v>
      </c>
      <c r="I44" s="376">
        <v>16585</v>
      </c>
      <c r="J44" s="376">
        <v>5080.0400000000009</v>
      </c>
      <c r="K44" s="376">
        <v>16452.24344810253</v>
      </c>
      <c r="L44" s="377">
        <v>-132.75655189746976</v>
      </c>
    </row>
    <row r="45" spans="1:12" x14ac:dyDescent="0.25">
      <c r="A45" s="375" t="s">
        <v>339</v>
      </c>
      <c r="B45" s="366">
        <v>2917931.25</v>
      </c>
      <c r="C45" s="366">
        <v>2831492.7199999997</v>
      </c>
      <c r="D45" s="376">
        <v>86438.530000000261</v>
      </c>
      <c r="E45" s="376">
        <v>2999741.0599999996</v>
      </c>
      <c r="F45" s="376">
        <v>168248.33999999985</v>
      </c>
      <c r="G45" s="376">
        <v>3146312.9499999993</v>
      </c>
      <c r="H45" s="376">
        <v>146571.88999999966</v>
      </c>
      <c r="I45" s="376">
        <v>4379316.8031757027</v>
      </c>
      <c r="J45" s="376">
        <v>1233003.8531757034</v>
      </c>
      <c r="K45" s="376">
        <v>3868250.5494808992</v>
      </c>
      <c r="L45" s="377">
        <v>-511066.25369480345</v>
      </c>
    </row>
    <row r="46" spans="1:12" x14ac:dyDescent="0.25">
      <c r="A46" s="375" t="s">
        <v>340</v>
      </c>
      <c r="B46" s="376">
        <v>8854025</v>
      </c>
      <c r="C46" s="376">
        <v>8789985.3599999994</v>
      </c>
      <c r="D46" s="376">
        <v>64039.639999999759</v>
      </c>
      <c r="E46" s="376">
        <v>9120559.8499999996</v>
      </c>
      <c r="F46" s="376">
        <v>330574.48999999941</v>
      </c>
      <c r="G46" s="376">
        <v>9112115.8200000003</v>
      </c>
      <c r="H46" s="376">
        <v>-8444.0300000004936</v>
      </c>
      <c r="I46" s="376">
        <v>10899594.089765061</v>
      </c>
      <c r="J46" s="376">
        <v>1787478.2697650611</v>
      </c>
      <c r="K46" s="376">
        <v>10046634.233632036</v>
      </c>
      <c r="L46" s="377">
        <v>-852959.85613302584</v>
      </c>
    </row>
    <row r="47" spans="1:12" ht="24" x14ac:dyDescent="0.25">
      <c r="A47" s="375" t="s">
        <v>341</v>
      </c>
      <c r="B47" s="376"/>
      <c r="C47" s="376"/>
      <c r="D47" s="376"/>
      <c r="E47" s="376"/>
      <c r="F47" s="376"/>
      <c r="G47" s="376"/>
      <c r="H47" s="376"/>
      <c r="I47" s="376"/>
      <c r="J47" s="376"/>
      <c r="K47" s="376"/>
      <c r="L47" s="376"/>
    </row>
    <row r="48" spans="1:12" x14ac:dyDescent="0.25">
      <c r="A48" s="375" t="s">
        <v>342</v>
      </c>
      <c r="B48" s="376">
        <v>8854025</v>
      </c>
      <c r="C48" s="376">
        <v>8789985.3599999994</v>
      </c>
      <c r="D48" s="376">
        <v>64039.639999999759</v>
      </c>
      <c r="E48" s="376">
        <v>9120559.8499999996</v>
      </c>
      <c r="F48" s="376">
        <v>330574.48999999941</v>
      </c>
      <c r="G48" s="376">
        <v>9112115.8200000003</v>
      </c>
      <c r="H48" s="376">
        <v>-8444.0300000004936</v>
      </c>
      <c r="I48" s="376">
        <v>10899594.089765061</v>
      </c>
      <c r="J48" s="376">
        <v>1787478.2697650611</v>
      </c>
      <c r="K48" s="376">
        <v>10046634.233632036</v>
      </c>
      <c r="L48" s="376">
        <v>-852959.85613302584</v>
      </c>
    </row>
    <row r="49" spans="1:12" x14ac:dyDescent="0.25">
      <c r="A49" s="375" t="s">
        <v>343</v>
      </c>
      <c r="B49" s="378"/>
      <c r="C49" s="379"/>
      <c r="D49" s="379"/>
      <c r="E49" s="376">
        <v>330574.49000000022</v>
      </c>
      <c r="F49" s="380"/>
      <c r="G49" s="376">
        <v>-8444.0299999993294</v>
      </c>
      <c r="H49" s="381"/>
      <c r="I49" s="376">
        <v>1787478.2697650604</v>
      </c>
      <c r="J49" s="382"/>
      <c r="K49" s="376">
        <v>-852959.85613302514</v>
      </c>
      <c r="L49" s="383"/>
    </row>
    <row r="50" spans="1:12" x14ac:dyDescent="0.25">
      <c r="A50" s="375" t="s">
        <v>344</v>
      </c>
      <c r="B50" s="384"/>
      <c r="C50" s="385"/>
      <c r="D50" s="385"/>
      <c r="E50" s="386">
        <v>3.7608081977510852E-2</v>
      </c>
      <c r="F50" s="387"/>
      <c r="G50" s="386">
        <v>-9.2582364886288529E-4</v>
      </c>
      <c r="H50" s="388"/>
      <c r="I50" s="386">
        <v>0.19616500767492004</v>
      </c>
      <c r="J50" s="389"/>
      <c r="K50" s="386">
        <v>-7.8256112026591121E-2</v>
      </c>
      <c r="L50" s="390"/>
    </row>
    <row r="51" spans="1:12" ht="24" x14ac:dyDescent="0.25">
      <c r="A51" s="375" t="s">
        <v>345</v>
      </c>
      <c r="B51" s="391"/>
      <c r="C51" s="392"/>
      <c r="D51" s="392"/>
      <c r="E51" s="393"/>
      <c r="F51" s="394"/>
      <c r="G51" s="395">
        <v>0.10255778483202327</v>
      </c>
      <c r="H51" s="396"/>
      <c r="I51" s="393"/>
      <c r="J51" s="397"/>
      <c r="K51" s="393"/>
      <c r="L51" s="398"/>
    </row>
    <row r="52" spans="1:12" x14ac:dyDescent="0.25">
      <c r="A52" s="375" t="s">
        <v>346</v>
      </c>
      <c r="B52" s="391"/>
      <c r="C52" s="392"/>
      <c r="D52" s="392"/>
      <c r="E52" s="397"/>
      <c r="F52" s="397"/>
      <c r="G52" s="399">
        <v>0.14296370496253435</v>
      </c>
      <c r="H52" s="397"/>
      <c r="I52" s="397"/>
      <c r="J52" s="397"/>
      <c r="K52" s="397"/>
      <c r="L52" s="400">
        <v>3.8647788494244217E-2</v>
      </c>
    </row>
    <row r="53" spans="1:12" x14ac:dyDescent="0.25">
      <c r="A53" s="375" t="s">
        <v>347</v>
      </c>
      <c r="B53" s="391"/>
      <c r="C53" s="392"/>
      <c r="D53" s="392"/>
      <c r="E53" s="397"/>
      <c r="F53" s="397"/>
      <c r="G53" s="399" t="s">
        <v>348</v>
      </c>
      <c r="H53" s="397"/>
      <c r="I53" s="397"/>
      <c r="J53" s="397"/>
      <c r="K53" s="397"/>
      <c r="L53" s="401">
        <v>2.7085239481851042E-2</v>
      </c>
    </row>
    <row r="54" spans="1:12" ht="24.75" thickBot="1" x14ac:dyDescent="0.3">
      <c r="A54" s="402" t="s">
        <v>349</v>
      </c>
      <c r="B54" s="403"/>
      <c r="C54" s="404"/>
      <c r="D54" s="404"/>
      <c r="E54" s="405"/>
      <c r="F54" s="406"/>
      <c r="G54" s="407">
        <v>1.2069553106324182E-2</v>
      </c>
      <c r="H54" s="408"/>
      <c r="I54" s="405"/>
      <c r="J54" s="405"/>
      <c r="K54" s="405"/>
      <c r="L54" s="409"/>
    </row>
    <row r="55" spans="1:12" x14ac:dyDescent="0.25">
      <c r="A55" s="335"/>
      <c r="B55" s="335"/>
      <c r="C55" s="335"/>
      <c r="D55" s="335"/>
      <c r="E55" s="335"/>
      <c r="F55" s="335"/>
      <c r="G55" s="335"/>
      <c r="H55" s="335"/>
      <c r="I55" s="335"/>
      <c r="J55" s="335"/>
      <c r="K55" s="335"/>
      <c r="L55" s="324"/>
    </row>
    <row r="56" spans="1:12" x14ac:dyDescent="0.25">
      <c r="A56" s="410" t="s">
        <v>350</v>
      </c>
      <c r="B56" s="335"/>
      <c r="C56" s="335"/>
      <c r="D56" s="335"/>
      <c r="E56" s="335"/>
      <c r="F56" s="335"/>
      <c r="G56" s="335"/>
      <c r="H56" s="335"/>
      <c r="I56" s="335"/>
      <c r="J56" s="335"/>
      <c r="K56" s="335"/>
      <c r="L56" s="324"/>
    </row>
    <row r="57" spans="1:12" x14ac:dyDescent="0.25">
      <c r="A57" s="410"/>
      <c r="B57" s="335"/>
      <c r="C57" s="335"/>
      <c r="D57" s="335"/>
      <c r="E57" s="335"/>
      <c r="F57" s="335"/>
      <c r="G57" s="335"/>
      <c r="H57" s="335"/>
      <c r="I57" s="335"/>
      <c r="J57" s="335"/>
      <c r="K57" s="335"/>
      <c r="L57" s="324"/>
    </row>
    <row r="58" spans="1:12" x14ac:dyDescent="0.25">
      <c r="A58" s="411" t="s">
        <v>351</v>
      </c>
      <c r="B58" s="335"/>
      <c r="C58" s="335"/>
      <c r="D58" s="335"/>
      <c r="E58" s="335"/>
      <c r="F58" s="335"/>
      <c r="G58" s="335"/>
      <c r="H58" s="335"/>
      <c r="I58" s="335"/>
      <c r="J58" s="335"/>
      <c r="K58" s="335"/>
      <c r="L58" s="324"/>
    </row>
    <row r="59" spans="1:12" x14ac:dyDescent="0.25">
      <c r="A59" s="1158" t="s">
        <v>352</v>
      </c>
      <c r="B59" s="1158"/>
      <c r="C59" s="1158"/>
      <c r="D59" s="1158"/>
      <c r="E59" s="1158"/>
      <c r="F59" s="1158"/>
      <c r="G59" s="1158"/>
      <c r="H59" s="1158"/>
      <c r="I59" s="1158"/>
      <c r="J59" s="1158"/>
      <c r="K59" s="1158"/>
      <c r="L59" s="1158"/>
    </row>
    <row r="60" spans="1:12" x14ac:dyDescent="0.25">
      <c r="A60" s="1158"/>
      <c r="B60" s="1158"/>
      <c r="C60" s="1158"/>
      <c r="D60" s="1158"/>
      <c r="E60" s="1158"/>
      <c r="F60" s="1158"/>
      <c r="G60" s="1158"/>
      <c r="H60" s="1158"/>
      <c r="I60" s="1158"/>
      <c r="J60" s="1158"/>
      <c r="K60" s="1158"/>
      <c r="L60" s="1158"/>
    </row>
    <row r="61" spans="1:12" x14ac:dyDescent="0.25">
      <c r="A61" s="412" t="s">
        <v>353</v>
      </c>
      <c r="B61" s="414"/>
      <c r="C61" s="414"/>
      <c r="D61" s="414"/>
      <c r="E61" s="414"/>
      <c r="F61" s="414"/>
      <c r="G61" s="414"/>
      <c r="H61" s="414"/>
      <c r="I61" s="414"/>
      <c r="J61" s="414"/>
      <c r="K61" s="414"/>
      <c r="L61" s="414"/>
    </row>
    <row r="62" spans="1:12" x14ac:dyDescent="0.25">
      <c r="A62" s="414"/>
      <c r="B62" s="414"/>
      <c r="C62" s="414"/>
      <c r="D62" s="414"/>
      <c r="E62" s="414"/>
      <c r="F62" s="414"/>
      <c r="G62" s="414"/>
      <c r="H62" s="414"/>
      <c r="I62" s="414"/>
      <c r="J62" s="414"/>
      <c r="K62" s="414"/>
      <c r="L62" s="414"/>
    </row>
    <row r="63" spans="1:12" x14ac:dyDescent="0.25">
      <c r="A63" s="412"/>
      <c r="B63" s="414"/>
      <c r="C63" s="414"/>
      <c r="D63" s="414"/>
      <c r="E63" s="414"/>
      <c r="F63" s="414"/>
      <c r="G63" s="335"/>
      <c r="H63" s="335"/>
      <c r="I63" s="335"/>
      <c r="J63" s="335"/>
      <c r="K63" s="335"/>
      <c r="L63" s="324"/>
    </row>
    <row r="64" spans="1:12" x14ac:dyDescent="0.25">
      <c r="A64" s="324"/>
      <c r="B64" s="1158"/>
      <c r="C64" s="1158"/>
      <c r="D64" s="1158"/>
      <c r="E64" s="1158"/>
      <c r="F64" s="1158"/>
      <c r="G64" s="335"/>
      <c r="H64" s="335"/>
      <c r="I64" s="335"/>
      <c r="J64" s="335"/>
      <c r="K64" s="335"/>
      <c r="L64" s="324"/>
    </row>
    <row r="65" spans="1:11" x14ac:dyDescent="0.25">
      <c r="A65" s="329"/>
      <c r="B65" s="1158"/>
      <c r="C65" s="1158"/>
      <c r="D65" s="1158"/>
      <c r="E65" s="1158"/>
      <c r="F65" s="1158"/>
      <c r="G65" s="335"/>
      <c r="H65" s="335"/>
      <c r="I65" s="335"/>
      <c r="J65" s="335"/>
      <c r="K65" s="335"/>
    </row>
    <row r="66" spans="1:11" x14ac:dyDescent="0.25">
      <c r="A66" s="335"/>
      <c r="B66" s="335"/>
      <c r="C66" s="335"/>
      <c r="D66" s="335"/>
      <c r="E66" s="335"/>
      <c r="F66" s="335"/>
      <c r="G66" s="335"/>
      <c r="H66" s="335"/>
      <c r="I66" s="335"/>
      <c r="J66" s="335"/>
      <c r="K66" s="335"/>
    </row>
    <row r="67" spans="1:11" x14ac:dyDescent="0.25">
      <c r="A67" s="335"/>
      <c r="B67" s="335"/>
      <c r="C67" s="335"/>
      <c r="D67" s="335"/>
      <c r="E67" s="335"/>
      <c r="F67" s="335"/>
      <c r="G67" s="335"/>
      <c r="H67" s="335"/>
      <c r="I67" s="335"/>
      <c r="J67" s="335"/>
      <c r="K67" s="335"/>
    </row>
    <row r="68" spans="1:11" x14ac:dyDescent="0.25">
      <c r="A68" s="335"/>
      <c r="B68" s="335"/>
      <c r="C68" s="335"/>
      <c r="D68" s="335"/>
      <c r="E68" s="335"/>
      <c r="F68" s="335"/>
      <c r="G68" s="335"/>
      <c r="H68" s="335"/>
      <c r="I68" s="335"/>
      <c r="J68" s="335"/>
      <c r="K68" s="335"/>
    </row>
    <row r="69" spans="1:11" x14ac:dyDescent="0.25">
      <c r="A69" s="335"/>
      <c r="B69" s="335"/>
      <c r="C69" s="335"/>
      <c r="D69" s="335"/>
      <c r="E69" s="335"/>
      <c r="F69" s="335"/>
      <c r="G69" s="335"/>
      <c r="H69" s="335"/>
      <c r="I69" s="335"/>
      <c r="J69" s="335"/>
      <c r="K69" s="335"/>
    </row>
    <row r="70" spans="1:11" x14ac:dyDescent="0.25">
      <c r="A70" s="335"/>
      <c r="B70" s="335"/>
      <c r="C70" s="335"/>
      <c r="D70" s="335"/>
      <c r="E70" s="335"/>
      <c r="F70" s="335"/>
      <c r="G70" s="335"/>
      <c r="H70" s="335"/>
      <c r="I70" s="335"/>
      <c r="J70" s="335"/>
      <c r="K70" s="335"/>
    </row>
    <row r="71" spans="1:11" x14ac:dyDescent="0.25">
      <c r="A71" s="335"/>
      <c r="B71" s="335"/>
      <c r="C71" s="335"/>
      <c r="D71" s="335"/>
      <c r="E71" s="335"/>
      <c r="F71" s="335"/>
      <c r="G71" s="335"/>
      <c r="H71" s="335"/>
      <c r="I71" s="335"/>
      <c r="J71" s="335"/>
      <c r="K71" s="335"/>
    </row>
    <row r="72" spans="1:11" x14ac:dyDescent="0.25">
      <c r="A72" s="335"/>
      <c r="B72" s="335"/>
      <c r="C72" s="335"/>
      <c r="D72" s="335"/>
      <c r="E72" s="335"/>
      <c r="F72" s="335"/>
      <c r="G72" s="335"/>
      <c r="H72" s="335"/>
      <c r="I72" s="335"/>
      <c r="J72" s="335"/>
      <c r="K72" s="335"/>
    </row>
    <row r="73" spans="1:11" x14ac:dyDescent="0.25">
      <c r="A73" s="335"/>
      <c r="B73" s="335"/>
      <c r="C73" s="335"/>
      <c r="D73" s="335"/>
      <c r="E73" s="335"/>
      <c r="F73" s="335"/>
      <c r="G73" s="335"/>
      <c r="H73" s="335"/>
      <c r="I73" s="335"/>
      <c r="J73" s="335"/>
      <c r="K73" s="335"/>
    </row>
    <row r="74" spans="1:11" x14ac:dyDescent="0.25">
      <c r="A74" s="335"/>
      <c r="B74" s="335"/>
      <c r="C74" s="335"/>
      <c r="D74" s="335"/>
      <c r="E74" s="335"/>
      <c r="F74" s="335"/>
      <c r="G74" s="335"/>
      <c r="H74" s="335"/>
      <c r="I74" s="335"/>
      <c r="J74" s="335"/>
      <c r="K74" s="335"/>
    </row>
    <row r="75" spans="1:11" x14ac:dyDescent="0.25">
      <c r="A75" s="335"/>
      <c r="B75" s="335"/>
      <c r="C75" s="335"/>
      <c r="D75" s="335"/>
      <c r="E75" s="335"/>
      <c r="F75" s="335"/>
      <c r="G75" s="335"/>
      <c r="H75" s="335"/>
      <c r="I75" s="335"/>
      <c r="J75" s="335"/>
      <c r="K75" s="335"/>
    </row>
    <row r="76" spans="1:11" x14ac:dyDescent="0.25">
      <c r="A76" s="335"/>
      <c r="B76" s="335"/>
      <c r="C76" s="335"/>
      <c r="D76" s="335"/>
      <c r="E76" s="335"/>
      <c r="F76" s="335"/>
      <c r="G76" s="335"/>
      <c r="H76" s="335"/>
      <c r="I76" s="335"/>
      <c r="J76" s="335"/>
      <c r="K76" s="335"/>
    </row>
    <row r="77" spans="1:11" x14ac:dyDescent="0.25">
      <c r="A77" s="335"/>
      <c r="B77" s="335"/>
      <c r="C77" s="335"/>
      <c r="D77" s="335"/>
      <c r="E77" s="335"/>
      <c r="F77" s="335"/>
      <c r="G77" s="335"/>
      <c r="H77" s="335"/>
      <c r="I77" s="335"/>
      <c r="J77" s="335"/>
      <c r="K77" s="335"/>
    </row>
    <row r="78" spans="1:11" x14ac:dyDescent="0.25">
      <c r="A78" s="335"/>
      <c r="B78" s="335"/>
      <c r="C78" s="335"/>
      <c r="D78" s="335"/>
      <c r="E78" s="335"/>
      <c r="F78" s="335"/>
      <c r="G78" s="335"/>
      <c r="H78" s="335"/>
      <c r="I78" s="335"/>
      <c r="J78" s="335"/>
      <c r="K78" s="335"/>
    </row>
    <row r="79" spans="1:11" x14ac:dyDescent="0.25">
      <c r="A79" s="335"/>
      <c r="B79" s="335"/>
      <c r="C79" s="335"/>
      <c r="D79" s="335"/>
      <c r="E79" s="335"/>
      <c r="F79" s="335"/>
      <c r="G79" s="335"/>
      <c r="H79" s="335"/>
      <c r="I79" s="335"/>
      <c r="J79" s="335"/>
      <c r="K79" s="335"/>
    </row>
    <row r="80" spans="1:11" x14ac:dyDescent="0.25">
      <c r="A80" s="335"/>
      <c r="B80" s="335"/>
      <c r="C80" s="335"/>
      <c r="D80" s="335"/>
      <c r="E80" s="335"/>
      <c r="F80" s="335"/>
      <c r="G80" s="335"/>
      <c r="H80" s="335"/>
      <c r="I80" s="335"/>
      <c r="J80" s="335"/>
      <c r="K80" s="335"/>
    </row>
    <row r="81" spans="1:11" x14ac:dyDescent="0.25">
      <c r="A81" s="335"/>
      <c r="B81" s="335"/>
      <c r="C81" s="335"/>
      <c r="D81" s="335"/>
      <c r="E81" s="335"/>
      <c r="F81" s="335"/>
      <c r="G81" s="335"/>
      <c r="H81" s="335"/>
      <c r="I81" s="335"/>
      <c r="J81" s="335"/>
      <c r="K81" s="335"/>
    </row>
    <row r="82" spans="1:11" x14ac:dyDescent="0.25">
      <c r="A82" s="335"/>
      <c r="B82" s="335"/>
      <c r="C82" s="335"/>
      <c r="D82" s="335"/>
      <c r="E82" s="335"/>
      <c r="F82" s="335"/>
      <c r="G82" s="335"/>
      <c r="H82" s="335"/>
      <c r="I82" s="335"/>
      <c r="J82" s="335"/>
      <c r="K82" s="335"/>
    </row>
    <row r="83" spans="1:11" x14ac:dyDescent="0.25">
      <c r="A83" s="335"/>
      <c r="B83" s="335"/>
      <c r="C83" s="335"/>
      <c r="D83" s="335"/>
      <c r="E83" s="335"/>
      <c r="F83" s="335"/>
      <c r="G83" s="335"/>
      <c r="H83" s="335"/>
      <c r="I83" s="335"/>
      <c r="J83" s="335"/>
      <c r="K83" s="335"/>
    </row>
    <row r="84" spans="1:11" x14ac:dyDescent="0.25">
      <c r="A84" s="335"/>
      <c r="B84" s="335"/>
      <c r="C84" s="335"/>
      <c r="D84" s="335"/>
      <c r="E84" s="335"/>
      <c r="F84" s="335"/>
      <c r="G84" s="335"/>
      <c r="H84" s="335"/>
      <c r="I84" s="335"/>
      <c r="J84" s="335"/>
      <c r="K84" s="335"/>
    </row>
    <row r="85" spans="1:11" x14ac:dyDescent="0.25">
      <c r="A85" s="335"/>
      <c r="B85" s="335"/>
      <c r="C85" s="335"/>
      <c r="D85" s="335"/>
      <c r="E85" s="335"/>
      <c r="F85" s="335"/>
      <c r="G85" s="335"/>
      <c r="H85" s="335"/>
      <c r="I85" s="335"/>
      <c r="J85" s="335"/>
      <c r="K85" s="335"/>
    </row>
    <row r="86" spans="1:11" x14ac:dyDescent="0.25">
      <c r="A86" s="335"/>
      <c r="B86" s="335"/>
      <c r="C86" s="335"/>
      <c r="D86" s="335"/>
      <c r="E86" s="335"/>
      <c r="F86" s="335"/>
      <c r="G86" s="335"/>
      <c r="H86" s="335"/>
      <c r="I86" s="335"/>
      <c r="J86" s="335"/>
      <c r="K86" s="335"/>
    </row>
    <row r="87" spans="1:11" x14ac:dyDescent="0.25">
      <c r="A87" s="335"/>
      <c r="B87" s="335"/>
      <c r="C87" s="335"/>
      <c r="D87" s="335"/>
      <c r="E87" s="335"/>
      <c r="F87" s="335"/>
      <c r="G87" s="335"/>
      <c r="H87" s="335"/>
      <c r="I87" s="335"/>
      <c r="J87" s="335"/>
      <c r="K87" s="335"/>
    </row>
    <row r="88" spans="1:11" x14ac:dyDescent="0.25">
      <c r="A88" s="335"/>
      <c r="B88" s="335"/>
      <c r="C88" s="335"/>
      <c r="D88" s="335"/>
      <c r="E88" s="335"/>
      <c r="F88" s="335"/>
      <c r="G88" s="335"/>
      <c r="H88" s="335"/>
      <c r="I88" s="335"/>
      <c r="J88" s="335"/>
      <c r="K88" s="335"/>
    </row>
    <row r="89" spans="1:11" x14ac:dyDescent="0.25">
      <c r="A89" s="335"/>
      <c r="B89" s="335"/>
      <c r="C89" s="335"/>
      <c r="D89" s="335"/>
      <c r="E89" s="335"/>
      <c r="F89" s="335"/>
      <c r="G89" s="335"/>
      <c r="H89" s="335"/>
      <c r="I89" s="335"/>
      <c r="J89" s="335"/>
      <c r="K89" s="335"/>
    </row>
    <row r="90" spans="1:11" x14ac:dyDescent="0.25">
      <c r="A90" s="335"/>
      <c r="B90" s="335"/>
      <c r="C90" s="335"/>
      <c r="D90" s="335"/>
      <c r="E90" s="335"/>
      <c r="F90" s="335"/>
      <c r="G90" s="335"/>
      <c r="H90" s="335"/>
      <c r="I90" s="335"/>
      <c r="J90" s="335"/>
      <c r="K90" s="335"/>
    </row>
    <row r="91" spans="1:11" x14ac:dyDescent="0.25">
      <c r="A91" s="335"/>
      <c r="B91" s="335"/>
      <c r="C91" s="335"/>
      <c r="D91" s="335"/>
      <c r="E91" s="335"/>
      <c r="F91" s="335"/>
      <c r="G91" s="335"/>
      <c r="H91" s="335"/>
      <c r="I91" s="335"/>
      <c r="J91" s="335"/>
      <c r="K91" s="335"/>
    </row>
    <row r="92" spans="1:11" x14ac:dyDescent="0.25">
      <c r="A92" s="335"/>
      <c r="B92" s="335"/>
      <c r="C92" s="335"/>
      <c r="D92" s="335"/>
      <c r="E92" s="335"/>
      <c r="F92" s="335"/>
      <c r="G92" s="335"/>
      <c r="H92" s="335"/>
      <c r="I92" s="335"/>
      <c r="J92" s="335"/>
      <c r="K92" s="335"/>
    </row>
    <row r="93" spans="1:11" x14ac:dyDescent="0.25">
      <c r="A93" s="335"/>
      <c r="B93" s="335"/>
      <c r="C93" s="335"/>
      <c r="D93" s="335"/>
      <c r="E93" s="335"/>
      <c r="F93" s="335"/>
      <c r="G93" s="335"/>
      <c r="H93" s="335"/>
      <c r="I93" s="335"/>
      <c r="J93" s="335"/>
      <c r="K93" s="335"/>
    </row>
    <row r="94" spans="1:11" x14ac:dyDescent="0.25">
      <c r="A94" s="335"/>
      <c r="B94" s="335"/>
      <c r="C94" s="335"/>
      <c r="D94" s="335"/>
      <c r="E94" s="335"/>
      <c r="F94" s="335"/>
      <c r="G94" s="335"/>
      <c r="H94" s="335"/>
      <c r="I94" s="335"/>
      <c r="J94" s="335"/>
      <c r="K94" s="335"/>
    </row>
    <row r="95" spans="1:11" x14ac:dyDescent="0.25">
      <c r="A95" s="335"/>
      <c r="B95" s="335"/>
      <c r="C95" s="335"/>
      <c r="D95" s="335"/>
      <c r="E95" s="335"/>
      <c r="F95" s="335"/>
      <c r="G95" s="335"/>
      <c r="H95" s="335"/>
      <c r="I95" s="335"/>
      <c r="J95" s="335"/>
      <c r="K95" s="335"/>
    </row>
    <row r="96" spans="1:11" x14ac:dyDescent="0.25">
      <c r="A96" s="335"/>
      <c r="B96" s="335"/>
      <c r="C96" s="335"/>
      <c r="D96" s="335"/>
      <c r="E96" s="335"/>
      <c r="F96" s="335"/>
      <c r="G96" s="335"/>
      <c r="H96" s="335"/>
      <c r="I96" s="335"/>
      <c r="J96" s="335"/>
      <c r="K96" s="335"/>
    </row>
    <row r="97" spans="1:11" x14ac:dyDescent="0.25">
      <c r="A97" s="335"/>
      <c r="B97" s="335"/>
      <c r="C97" s="335"/>
      <c r="D97" s="335"/>
      <c r="E97" s="335"/>
      <c r="F97" s="335"/>
      <c r="G97" s="335"/>
      <c r="H97" s="335"/>
      <c r="I97" s="335"/>
      <c r="J97" s="335"/>
      <c r="K97" s="335"/>
    </row>
    <row r="98" spans="1:11" x14ac:dyDescent="0.25">
      <c r="A98" s="335"/>
      <c r="B98" s="335"/>
      <c r="C98" s="335"/>
      <c r="D98" s="335"/>
      <c r="E98" s="335"/>
      <c r="F98" s="335"/>
      <c r="G98" s="335"/>
      <c r="H98" s="335"/>
      <c r="I98" s="335"/>
      <c r="J98" s="335"/>
      <c r="K98" s="335"/>
    </row>
    <row r="99" spans="1:11" x14ac:dyDescent="0.25">
      <c r="A99" s="335"/>
      <c r="B99" s="335"/>
      <c r="C99" s="335"/>
      <c r="D99" s="335"/>
      <c r="E99" s="335"/>
      <c r="F99" s="335"/>
      <c r="G99" s="335"/>
      <c r="H99" s="335"/>
      <c r="I99" s="335"/>
      <c r="J99" s="335"/>
      <c r="K99" s="335"/>
    </row>
    <row r="100" spans="1:11" x14ac:dyDescent="0.25">
      <c r="A100" s="335"/>
      <c r="B100" s="335"/>
      <c r="C100" s="335"/>
      <c r="D100" s="335"/>
      <c r="E100" s="335"/>
      <c r="F100" s="335"/>
      <c r="G100" s="335"/>
      <c r="H100" s="335"/>
      <c r="I100" s="335"/>
      <c r="J100" s="335"/>
      <c r="K100" s="335"/>
    </row>
    <row r="101" spans="1:11" x14ac:dyDescent="0.25">
      <c r="A101" s="335"/>
      <c r="B101" s="335"/>
      <c r="C101" s="335"/>
      <c r="D101" s="335"/>
      <c r="E101" s="335"/>
      <c r="F101" s="335"/>
      <c r="G101" s="335"/>
      <c r="H101" s="335"/>
      <c r="I101" s="335"/>
      <c r="J101" s="335"/>
      <c r="K101" s="335"/>
    </row>
    <row r="102" spans="1:11" x14ac:dyDescent="0.25">
      <c r="A102" s="335"/>
      <c r="B102" s="335"/>
      <c r="C102" s="335"/>
      <c r="D102" s="335"/>
      <c r="E102" s="335"/>
      <c r="F102" s="335"/>
      <c r="G102" s="335"/>
      <c r="H102" s="335"/>
      <c r="I102" s="335"/>
      <c r="J102" s="335"/>
      <c r="K102" s="335"/>
    </row>
    <row r="103" spans="1:11" x14ac:dyDescent="0.25">
      <c r="A103" s="335"/>
      <c r="B103" s="335"/>
      <c r="C103" s="335"/>
      <c r="D103" s="335"/>
      <c r="E103" s="335"/>
      <c r="F103" s="335"/>
      <c r="G103" s="335"/>
      <c r="H103" s="335"/>
      <c r="I103" s="335"/>
      <c r="J103" s="335"/>
      <c r="K103" s="335"/>
    </row>
    <row r="104" spans="1:11" x14ac:dyDescent="0.25">
      <c r="A104" s="335"/>
      <c r="B104" s="335"/>
      <c r="C104" s="335"/>
      <c r="D104" s="335"/>
      <c r="E104" s="335"/>
      <c r="F104" s="335"/>
      <c r="G104" s="335"/>
      <c r="H104" s="335"/>
      <c r="I104" s="335"/>
      <c r="J104" s="335"/>
      <c r="K104" s="335"/>
    </row>
    <row r="105" spans="1:11" x14ac:dyDescent="0.25">
      <c r="A105" s="335"/>
      <c r="B105" s="335"/>
      <c r="C105" s="335"/>
      <c r="D105" s="335"/>
      <c r="E105" s="335"/>
      <c r="F105" s="335"/>
      <c r="G105" s="335"/>
      <c r="H105" s="335"/>
      <c r="I105" s="335"/>
      <c r="J105" s="335"/>
      <c r="K105" s="335"/>
    </row>
    <row r="106" spans="1:11" x14ac:dyDescent="0.25">
      <c r="A106" s="335"/>
      <c r="B106" s="335"/>
      <c r="C106" s="335"/>
      <c r="D106" s="335"/>
      <c r="E106" s="335"/>
      <c r="F106" s="335"/>
      <c r="G106" s="335"/>
      <c r="H106" s="335"/>
      <c r="I106" s="335"/>
      <c r="J106" s="335"/>
      <c r="K106" s="335"/>
    </row>
    <row r="107" spans="1:11" x14ac:dyDescent="0.25">
      <c r="A107" s="335"/>
      <c r="B107" s="335"/>
      <c r="C107" s="335"/>
      <c r="D107" s="335"/>
      <c r="E107" s="335"/>
      <c r="F107" s="335"/>
      <c r="G107" s="335"/>
      <c r="H107" s="335"/>
      <c r="I107" s="335"/>
      <c r="J107" s="335"/>
      <c r="K107" s="335"/>
    </row>
    <row r="108" spans="1:11" x14ac:dyDescent="0.25">
      <c r="A108" s="335"/>
      <c r="B108" s="335"/>
      <c r="C108" s="335"/>
      <c r="D108" s="335"/>
      <c r="E108" s="335"/>
      <c r="F108" s="335"/>
      <c r="G108" s="335"/>
      <c r="H108" s="335"/>
      <c r="I108" s="335"/>
      <c r="J108" s="335"/>
      <c r="K108" s="335"/>
    </row>
    <row r="109" spans="1:11" x14ac:dyDescent="0.25">
      <c r="A109" s="335"/>
      <c r="B109" s="335"/>
      <c r="C109" s="335"/>
      <c r="D109" s="335"/>
      <c r="E109" s="335"/>
      <c r="F109" s="335"/>
      <c r="G109" s="335"/>
      <c r="H109" s="335"/>
      <c r="I109" s="335"/>
      <c r="J109" s="335"/>
      <c r="K109" s="335"/>
    </row>
    <row r="110" spans="1:11" x14ac:dyDescent="0.25">
      <c r="A110" s="335"/>
      <c r="B110" s="335"/>
      <c r="C110" s="335"/>
      <c r="D110" s="335"/>
      <c r="E110" s="335"/>
      <c r="F110" s="335"/>
      <c r="G110" s="335"/>
      <c r="H110" s="335"/>
      <c r="I110" s="335"/>
      <c r="J110" s="335"/>
      <c r="K110" s="335"/>
    </row>
    <row r="111" spans="1:11" x14ac:dyDescent="0.25">
      <c r="A111" s="335"/>
      <c r="B111" s="335"/>
      <c r="C111" s="335"/>
      <c r="D111" s="335"/>
      <c r="E111" s="335"/>
      <c r="F111" s="335"/>
      <c r="G111" s="335"/>
      <c r="H111" s="335"/>
      <c r="I111" s="335"/>
      <c r="J111" s="335"/>
      <c r="K111" s="335"/>
    </row>
    <row r="112" spans="1:11" x14ac:dyDescent="0.25">
      <c r="A112" s="335"/>
      <c r="B112" s="335"/>
      <c r="C112" s="335"/>
      <c r="D112" s="335"/>
      <c r="E112" s="335"/>
      <c r="F112" s="335"/>
      <c r="G112" s="335"/>
      <c r="H112" s="335"/>
      <c r="I112" s="335"/>
      <c r="J112" s="335"/>
      <c r="K112" s="335"/>
    </row>
    <row r="113" spans="1:11" x14ac:dyDescent="0.25">
      <c r="A113" s="335"/>
      <c r="B113" s="335"/>
      <c r="C113" s="335"/>
      <c r="D113" s="335"/>
      <c r="E113" s="335"/>
      <c r="F113" s="335"/>
      <c r="G113" s="335"/>
      <c r="H113" s="335"/>
      <c r="I113" s="335"/>
      <c r="J113" s="335"/>
      <c r="K113" s="335"/>
    </row>
    <row r="114" spans="1:11" x14ac:dyDescent="0.25">
      <c r="A114" s="335"/>
      <c r="B114" s="335"/>
      <c r="C114" s="335"/>
      <c r="D114" s="335"/>
      <c r="E114" s="335"/>
      <c r="F114" s="335"/>
      <c r="G114" s="335"/>
      <c r="H114" s="335"/>
      <c r="I114" s="335"/>
      <c r="J114" s="335"/>
      <c r="K114" s="335"/>
    </row>
    <row r="115" spans="1:11" x14ac:dyDescent="0.25">
      <c r="A115" s="335"/>
      <c r="B115" s="335"/>
      <c r="C115" s="335"/>
      <c r="D115" s="335"/>
      <c r="E115" s="335"/>
      <c r="F115" s="335"/>
      <c r="G115" s="335"/>
      <c r="H115" s="335"/>
      <c r="I115" s="335"/>
      <c r="J115" s="335"/>
      <c r="K115" s="335"/>
    </row>
    <row r="116" spans="1:11" x14ac:dyDescent="0.25">
      <c r="A116" s="335"/>
      <c r="B116" s="335"/>
      <c r="C116" s="335"/>
      <c r="D116" s="335"/>
      <c r="E116" s="335"/>
      <c r="F116" s="335"/>
      <c r="G116" s="335"/>
      <c r="H116" s="335"/>
      <c r="I116" s="335"/>
      <c r="J116" s="335"/>
      <c r="K116" s="335"/>
    </row>
    <row r="117" spans="1:11" x14ac:dyDescent="0.25">
      <c r="A117" s="335"/>
      <c r="B117" s="335"/>
      <c r="C117" s="335"/>
      <c r="D117" s="335"/>
      <c r="E117" s="335"/>
      <c r="F117" s="335"/>
      <c r="G117" s="335"/>
      <c r="H117" s="335"/>
      <c r="I117" s="335"/>
      <c r="J117" s="335"/>
      <c r="K117" s="335"/>
    </row>
    <row r="118" spans="1:11" x14ac:dyDescent="0.25">
      <c r="A118" s="335"/>
      <c r="B118" s="335"/>
      <c r="C118" s="335"/>
      <c r="D118" s="335"/>
      <c r="E118" s="335"/>
      <c r="F118" s="335"/>
      <c r="G118" s="335"/>
      <c r="H118" s="335"/>
      <c r="I118" s="335"/>
      <c r="J118" s="335"/>
      <c r="K118" s="335"/>
    </row>
    <row r="119" spans="1:11" x14ac:dyDescent="0.25">
      <c r="A119" s="335"/>
      <c r="B119" s="335"/>
      <c r="C119" s="335"/>
      <c r="D119" s="335"/>
      <c r="E119" s="335"/>
      <c r="F119" s="335"/>
      <c r="G119" s="335"/>
      <c r="H119" s="335"/>
      <c r="I119" s="335"/>
      <c r="J119" s="335"/>
      <c r="K119" s="335"/>
    </row>
    <row r="120" spans="1:11" x14ac:dyDescent="0.25">
      <c r="A120" s="335"/>
      <c r="B120" s="335"/>
      <c r="C120" s="335"/>
      <c r="D120" s="335"/>
      <c r="E120" s="335"/>
      <c r="F120" s="335"/>
      <c r="G120" s="335"/>
      <c r="H120" s="335"/>
      <c r="I120" s="335"/>
      <c r="J120" s="335"/>
      <c r="K120" s="335"/>
    </row>
    <row r="121" spans="1:11" x14ac:dyDescent="0.25">
      <c r="A121" s="335"/>
      <c r="B121" s="335"/>
      <c r="C121" s="335"/>
      <c r="D121" s="335"/>
      <c r="E121" s="335"/>
      <c r="F121" s="335"/>
      <c r="G121" s="335"/>
      <c r="H121" s="335"/>
      <c r="I121" s="335"/>
      <c r="J121" s="335"/>
      <c r="K121" s="335"/>
    </row>
    <row r="122" spans="1:11" x14ac:dyDescent="0.25">
      <c r="A122" s="335"/>
      <c r="B122" s="335"/>
      <c r="C122" s="335"/>
      <c r="D122" s="335"/>
      <c r="E122" s="335"/>
      <c r="F122" s="335"/>
      <c r="G122" s="335"/>
      <c r="H122" s="335"/>
      <c r="I122" s="335"/>
      <c r="J122" s="335"/>
      <c r="K122" s="335"/>
    </row>
    <row r="123" spans="1:11" x14ac:dyDescent="0.25">
      <c r="A123" s="335"/>
      <c r="B123" s="335"/>
      <c r="C123" s="335"/>
      <c r="D123" s="335"/>
      <c r="E123" s="335"/>
      <c r="F123" s="335"/>
      <c r="G123" s="335"/>
      <c r="H123" s="335"/>
      <c r="I123" s="335"/>
      <c r="J123" s="335"/>
      <c r="K123" s="335"/>
    </row>
    <row r="124" spans="1:11" x14ac:dyDescent="0.25">
      <c r="A124" s="335"/>
      <c r="B124" s="335"/>
      <c r="C124" s="335"/>
      <c r="D124" s="335"/>
      <c r="E124" s="335"/>
      <c r="F124" s="335"/>
      <c r="G124" s="335"/>
      <c r="H124" s="335"/>
      <c r="I124" s="335"/>
      <c r="J124" s="335"/>
      <c r="K124" s="335"/>
    </row>
    <row r="125" spans="1:11" x14ac:dyDescent="0.25">
      <c r="A125" s="335"/>
      <c r="B125" s="335"/>
      <c r="C125" s="335"/>
      <c r="D125" s="335"/>
      <c r="E125" s="335"/>
      <c r="F125" s="335"/>
      <c r="G125" s="335"/>
      <c r="H125" s="335"/>
      <c r="I125" s="335"/>
      <c r="J125" s="335"/>
      <c r="K125" s="335"/>
    </row>
    <row r="126" spans="1:11" x14ac:dyDescent="0.25">
      <c r="A126" s="335"/>
      <c r="B126" s="335"/>
      <c r="C126" s="335"/>
      <c r="D126" s="335"/>
      <c r="E126" s="335"/>
      <c r="F126" s="335"/>
      <c r="G126" s="335"/>
      <c r="H126" s="335"/>
      <c r="I126" s="335"/>
      <c r="J126" s="335"/>
      <c r="K126" s="335"/>
    </row>
    <row r="127" spans="1:11" x14ac:dyDescent="0.25">
      <c r="A127" s="335"/>
      <c r="B127" s="335"/>
      <c r="C127" s="335"/>
      <c r="D127" s="335"/>
      <c r="E127" s="335"/>
      <c r="F127" s="335"/>
      <c r="G127" s="335"/>
      <c r="H127" s="335"/>
      <c r="I127" s="335"/>
      <c r="J127" s="335"/>
      <c r="K127" s="335"/>
    </row>
    <row r="128" spans="1:11" x14ac:dyDescent="0.25">
      <c r="A128" s="335"/>
      <c r="B128" s="335"/>
      <c r="C128" s="335"/>
      <c r="D128" s="335"/>
      <c r="E128" s="335"/>
      <c r="F128" s="335"/>
      <c r="G128" s="335"/>
      <c r="H128" s="335"/>
      <c r="I128" s="335"/>
      <c r="J128" s="335"/>
      <c r="K128" s="335"/>
    </row>
    <row r="129" spans="1:11" x14ac:dyDescent="0.25">
      <c r="A129" s="335"/>
      <c r="B129" s="335"/>
      <c r="C129" s="335"/>
      <c r="D129" s="335"/>
      <c r="E129" s="335"/>
      <c r="F129" s="335"/>
      <c r="G129" s="335"/>
      <c r="H129" s="335"/>
      <c r="I129" s="335"/>
      <c r="J129" s="335"/>
      <c r="K129" s="335"/>
    </row>
    <row r="130" spans="1:11" x14ac:dyDescent="0.25">
      <c r="A130" s="335"/>
      <c r="B130" s="335"/>
      <c r="C130" s="335"/>
      <c r="D130" s="335"/>
      <c r="E130" s="335"/>
      <c r="F130" s="335"/>
      <c r="G130" s="335"/>
      <c r="H130" s="335"/>
      <c r="I130" s="335"/>
      <c r="J130" s="335"/>
      <c r="K130" s="335"/>
    </row>
    <row r="131" spans="1:11" x14ac:dyDescent="0.25">
      <c r="A131" s="335"/>
      <c r="B131" s="335"/>
      <c r="C131" s="335"/>
      <c r="D131" s="335"/>
      <c r="E131" s="335"/>
      <c r="F131" s="335"/>
      <c r="G131" s="335"/>
      <c r="H131" s="335"/>
      <c r="I131" s="335"/>
      <c r="J131" s="335"/>
      <c r="K131" s="335"/>
    </row>
    <row r="132" spans="1:11" x14ac:dyDescent="0.25">
      <c r="A132" s="335"/>
      <c r="B132" s="335"/>
      <c r="C132" s="335"/>
      <c r="D132" s="335"/>
      <c r="E132" s="335"/>
      <c r="F132" s="335"/>
      <c r="G132" s="335"/>
      <c r="H132" s="335"/>
      <c r="I132" s="335"/>
      <c r="J132" s="335"/>
      <c r="K132" s="335"/>
    </row>
    <row r="133" spans="1:11" x14ac:dyDescent="0.25">
      <c r="A133" s="335"/>
      <c r="B133" s="335"/>
      <c r="C133" s="335"/>
      <c r="D133" s="335"/>
      <c r="E133" s="335"/>
      <c r="F133" s="335"/>
      <c r="G133" s="335"/>
      <c r="H133" s="335"/>
      <c r="I133" s="335"/>
      <c r="J133" s="335"/>
      <c r="K133" s="335"/>
    </row>
    <row r="134" spans="1:11" x14ac:dyDescent="0.25">
      <c r="A134" s="335"/>
      <c r="B134" s="335"/>
      <c r="C134" s="335"/>
      <c r="D134" s="335"/>
      <c r="E134" s="335"/>
      <c r="F134" s="335"/>
      <c r="G134" s="335"/>
      <c r="H134" s="335"/>
      <c r="I134" s="335"/>
      <c r="J134" s="335"/>
      <c r="K134" s="335"/>
    </row>
  </sheetData>
  <customSheetViews>
    <customSheetView guid="{FEE3C04B-CD27-4551-A1CF-8272225D231B}">
      <selection activeCell="F58" sqref="F58"/>
      <pageMargins left="0.7" right="0.7" top="0.75" bottom="0.75" header="0.3" footer="0.3"/>
    </customSheetView>
    <customSheetView guid="{957A2981-C0FE-4A89-90AC-F40944F7258F}">
      <selection activeCell="F58" sqref="F58"/>
      <pageMargins left="0.7" right="0.7" top="0.75" bottom="0.75" header="0.3" footer="0.3"/>
    </customSheetView>
    <customSheetView guid="{AE01795C-0F1A-4D22-B411-4CB1D681CFC8}">
      <selection activeCell="F58" sqref="F58"/>
      <pageMargins left="0.7" right="0.7" top="0.75" bottom="0.75" header="0.3" footer="0.3"/>
    </customSheetView>
  </customSheetViews>
  <mergeCells count="5">
    <mergeCell ref="B64:F65"/>
    <mergeCell ref="A59:L60"/>
    <mergeCell ref="A9:G9"/>
    <mergeCell ref="A10:G10"/>
    <mergeCell ref="H13:I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workbookViewId="0">
      <selection activeCell="A48" sqref="A48"/>
    </sheetView>
  </sheetViews>
  <sheetFormatPr defaultRowHeight="15" x14ac:dyDescent="0.25"/>
  <cols>
    <col min="1" max="1" width="60.42578125" customWidth="1"/>
    <col min="2" max="2" width="16.85546875" customWidth="1"/>
    <col min="3" max="3" width="13" customWidth="1"/>
    <col min="4" max="4" width="12.85546875" customWidth="1"/>
    <col min="5" max="5" width="13.5703125" customWidth="1"/>
    <col min="6" max="6" width="12.7109375" customWidth="1"/>
    <col min="7" max="7" width="12.140625" customWidth="1"/>
  </cols>
  <sheetData>
    <row r="1" spans="1:13" x14ac:dyDescent="0.25">
      <c r="A1" s="419"/>
      <c r="B1" s="419"/>
      <c r="C1" s="419"/>
      <c r="D1" s="419"/>
      <c r="E1" s="419"/>
      <c r="F1" s="431" t="s">
        <v>0</v>
      </c>
      <c r="G1" s="420">
        <v>0</v>
      </c>
      <c r="H1" s="419"/>
      <c r="I1" s="419"/>
      <c r="J1" s="419"/>
      <c r="K1" s="419"/>
      <c r="L1" s="419"/>
      <c r="M1" s="419"/>
    </row>
    <row r="2" spans="1:13" x14ac:dyDescent="0.25">
      <c r="A2" s="419"/>
      <c r="B2" s="419"/>
      <c r="C2" s="419"/>
      <c r="D2" s="419"/>
      <c r="E2" s="419"/>
      <c r="F2" s="431" t="s">
        <v>1</v>
      </c>
      <c r="G2" s="421"/>
      <c r="H2" s="419"/>
      <c r="I2" s="419"/>
      <c r="J2" s="419"/>
      <c r="K2" s="419"/>
      <c r="L2" s="419"/>
      <c r="M2" s="419"/>
    </row>
    <row r="3" spans="1:13" x14ac:dyDescent="0.25">
      <c r="A3" s="419"/>
      <c r="B3" s="419"/>
      <c r="C3" s="419"/>
      <c r="D3" s="419"/>
      <c r="E3" s="419"/>
      <c r="F3" s="431" t="s">
        <v>2</v>
      </c>
      <c r="G3" s="421"/>
      <c r="H3" s="419"/>
      <c r="I3" s="419"/>
      <c r="J3" s="419"/>
      <c r="K3" s="419"/>
      <c r="L3" s="419"/>
      <c r="M3" s="419"/>
    </row>
    <row r="4" spans="1:13" x14ac:dyDescent="0.25">
      <c r="A4" s="419"/>
      <c r="B4" s="419"/>
      <c r="C4" s="419"/>
      <c r="D4" s="419"/>
      <c r="E4" s="419"/>
      <c r="F4" s="431" t="s">
        <v>3</v>
      </c>
      <c r="G4" s="421"/>
      <c r="H4" s="419"/>
      <c r="I4" s="419"/>
      <c r="J4" s="419"/>
      <c r="K4" s="419"/>
      <c r="L4" s="419"/>
      <c r="M4" s="419"/>
    </row>
    <row r="5" spans="1:13" x14ac:dyDescent="0.25">
      <c r="A5" s="419"/>
      <c r="B5" s="419"/>
      <c r="C5" s="419"/>
      <c r="D5" s="419"/>
      <c r="E5" s="419"/>
      <c r="F5" s="431" t="s">
        <v>4</v>
      </c>
      <c r="G5" s="422"/>
      <c r="H5" s="419"/>
      <c r="I5" s="419"/>
      <c r="J5" s="419"/>
      <c r="K5" s="419"/>
      <c r="L5" s="419"/>
      <c r="M5" s="419"/>
    </row>
    <row r="6" spans="1:13" x14ac:dyDescent="0.25">
      <c r="A6" s="419"/>
      <c r="B6" s="419"/>
      <c r="C6" s="419"/>
      <c r="D6" s="419"/>
      <c r="E6" s="419"/>
      <c r="F6" s="431"/>
      <c r="G6" s="420"/>
      <c r="H6" s="419"/>
      <c r="I6" s="419"/>
      <c r="J6" s="419"/>
      <c r="K6" s="419"/>
      <c r="L6" s="419"/>
      <c r="M6" s="419"/>
    </row>
    <row r="7" spans="1:13" x14ac:dyDescent="0.25">
      <c r="A7" s="419"/>
      <c r="B7" s="419"/>
      <c r="C7" s="419"/>
      <c r="D7" s="419"/>
      <c r="E7" s="419"/>
      <c r="F7" s="431" t="s">
        <v>5</v>
      </c>
      <c r="G7" s="422"/>
      <c r="H7" s="419"/>
      <c r="I7" s="419"/>
      <c r="J7" s="419"/>
      <c r="K7" s="419"/>
      <c r="L7" s="419"/>
      <c r="M7" s="419"/>
    </row>
    <row r="8" spans="1:13" x14ac:dyDescent="0.25">
      <c r="A8" s="419"/>
      <c r="B8" s="419"/>
      <c r="C8" s="419"/>
      <c r="D8" s="419"/>
      <c r="E8" s="419"/>
      <c r="F8" s="419"/>
      <c r="G8" s="430"/>
      <c r="H8" s="419"/>
      <c r="I8" s="419"/>
      <c r="J8" s="419"/>
      <c r="K8" s="419"/>
      <c r="L8" s="419"/>
      <c r="M8" s="419"/>
    </row>
    <row r="9" spans="1:13" x14ac:dyDescent="0.25">
      <c r="A9" s="419"/>
      <c r="B9" s="419"/>
      <c r="C9" s="419"/>
      <c r="D9" s="419"/>
      <c r="E9" s="419"/>
      <c r="F9" s="419"/>
      <c r="G9" s="430"/>
      <c r="H9" s="419"/>
      <c r="I9" s="419"/>
      <c r="J9" s="419"/>
      <c r="K9" s="419"/>
      <c r="L9" s="419"/>
      <c r="M9" s="419"/>
    </row>
    <row r="10" spans="1:13" ht="18" x14ac:dyDescent="0.25">
      <c r="A10" s="1165" t="s">
        <v>354</v>
      </c>
      <c r="B10" s="1165"/>
      <c r="C10" s="1165"/>
      <c r="D10" s="1165"/>
      <c r="E10" s="1165"/>
      <c r="F10" s="1165"/>
      <c r="G10" s="1165"/>
      <c r="H10" s="419"/>
      <c r="I10" s="419"/>
      <c r="J10" s="419"/>
      <c r="K10" s="419"/>
      <c r="L10" s="419"/>
      <c r="M10" s="419"/>
    </row>
    <row r="11" spans="1:13" ht="18" x14ac:dyDescent="0.25">
      <c r="A11" s="1165" t="s">
        <v>355</v>
      </c>
      <c r="B11" s="1165"/>
      <c r="C11" s="1165"/>
      <c r="D11" s="1165"/>
      <c r="E11" s="1165"/>
      <c r="F11" s="1165"/>
      <c r="G11" s="1165"/>
      <c r="H11" s="419"/>
      <c r="I11" s="419"/>
      <c r="J11" s="419"/>
      <c r="K11" s="419"/>
      <c r="L11" s="419"/>
      <c r="M11" s="419"/>
    </row>
    <row r="12" spans="1:13" ht="15.75" thickBot="1" x14ac:dyDescent="0.3">
      <c r="A12" s="419"/>
      <c r="B12" s="419"/>
      <c r="C12" s="419"/>
      <c r="D12" s="419"/>
      <c r="E12" s="419"/>
      <c r="F12" s="419"/>
      <c r="G12" s="419"/>
      <c r="H12" s="419"/>
      <c r="I12" s="419"/>
      <c r="J12" s="430"/>
      <c r="K12" s="430"/>
      <c r="L12" s="419"/>
      <c r="M12" s="419"/>
    </row>
    <row r="13" spans="1:13" ht="64.5" thickBot="1" x14ac:dyDescent="0.3">
      <c r="A13" s="438" t="s">
        <v>356</v>
      </c>
      <c r="B13" s="433" t="s">
        <v>320</v>
      </c>
      <c r="C13" s="439" t="s">
        <v>380</v>
      </c>
      <c r="D13" s="433" t="s">
        <v>321</v>
      </c>
      <c r="E13" s="433" t="s">
        <v>322</v>
      </c>
      <c r="F13" s="433" t="s">
        <v>9</v>
      </c>
      <c r="G13" s="434" t="s">
        <v>10</v>
      </c>
      <c r="H13" s="419"/>
      <c r="I13" s="419"/>
      <c r="J13" s="430"/>
      <c r="K13" s="430"/>
      <c r="L13" s="419"/>
      <c r="M13" s="419"/>
    </row>
    <row r="14" spans="1:13" ht="24.75" thickBot="1" x14ac:dyDescent="0.3">
      <c r="A14" s="435" t="s">
        <v>11</v>
      </c>
      <c r="B14" s="436"/>
      <c r="C14" s="436"/>
      <c r="D14" s="436"/>
      <c r="E14" s="436"/>
      <c r="F14" s="436"/>
      <c r="G14" s="437"/>
      <c r="H14" s="419"/>
      <c r="I14" s="419"/>
      <c r="J14" s="430"/>
      <c r="K14" s="430"/>
      <c r="L14" s="419"/>
      <c r="M14" s="440"/>
    </row>
    <row r="15" spans="1:13" ht="15.75" thickBot="1" x14ac:dyDescent="0.3">
      <c r="A15" s="441" t="s">
        <v>114</v>
      </c>
      <c r="B15" s="442">
        <v>8854025</v>
      </c>
      <c r="C15" s="443">
        <v>8789985.3599999994</v>
      </c>
      <c r="D15" s="443">
        <v>8789985.3599999994</v>
      </c>
      <c r="E15" s="443">
        <v>9120559.8499999978</v>
      </c>
      <c r="F15" s="443">
        <v>9112115.8199999966</v>
      </c>
      <c r="G15" s="443">
        <v>10546794.089765061</v>
      </c>
      <c r="H15" s="419"/>
      <c r="I15" s="419"/>
      <c r="J15" s="430"/>
      <c r="K15" s="430"/>
      <c r="L15" s="419"/>
      <c r="M15" s="419"/>
    </row>
    <row r="16" spans="1:13" x14ac:dyDescent="0.25">
      <c r="A16" s="444" t="s">
        <v>357</v>
      </c>
      <c r="B16" s="426">
        <v>87734</v>
      </c>
      <c r="C16" s="424"/>
      <c r="D16" s="424">
        <v>-40125</v>
      </c>
      <c r="E16" s="424">
        <v>0</v>
      </c>
      <c r="F16" s="424">
        <v>0</v>
      </c>
      <c r="G16" s="432">
        <v>0</v>
      </c>
      <c r="H16" s="419"/>
      <c r="I16" s="419"/>
      <c r="J16" s="430"/>
      <c r="K16" s="430"/>
      <c r="L16" s="419"/>
      <c r="M16" s="419"/>
    </row>
    <row r="17" spans="1:11" x14ac:dyDescent="0.25">
      <c r="A17" s="444" t="s">
        <v>358</v>
      </c>
      <c r="B17" s="426">
        <v>-536035</v>
      </c>
      <c r="C17" s="424"/>
      <c r="D17" s="424">
        <v>536035</v>
      </c>
      <c r="E17" s="424">
        <v>0</v>
      </c>
      <c r="F17" s="424">
        <v>0</v>
      </c>
      <c r="G17" s="432">
        <v>0</v>
      </c>
      <c r="H17" s="419"/>
      <c r="I17" s="419"/>
      <c r="J17" s="430"/>
      <c r="K17" s="430"/>
    </row>
    <row r="18" spans="1:11" x14ac:dyDescent="0.25">
      <c r="A18" s="444" t="s">
        <v>359</v>
      </c>
      <c r="B18" s="426">
        <v>252373</v>
      </c>
      <c r="C18" s="424"/>
      <c r="D18" s="424">
        <v>-423357.55</v>
      </c>
      <c r="E18" s="424">
        <v>0</v>
      </c>
      <c r="F18" s="424">
        <v>0</v>
      </c>
      <c r="G18" s="432">
        <v>0</v>
      </c>
      <c r="H18" s="419"/>
      <c r="I18" s="419"/>
      <c r="J18" s="430"/>
      <c r="K18" s="430"/>
    </row>
    <row r="19" spans="1:11" x14ac:dyDescent="0.25">
      <c r="A19" s="444" t="s">
        <v>360</v>
      </c>
      <c r="B19" s="426">
        <v>108275</v>
      </c>
      <c r="C19" s="424"/>
      <c r="D19" s="424">
        <v>0</v>
      </c>
      <c r="E19" s="424">
        <v>0</v>
      </c>
      <c r="F19" s="424">
        <v>0</v>
      </c>
      <c r="G19" s="432">
        <v>0</v>
      </c>
      <c r="H19" s="419"/>
      <c r="I19" s="419"/>
      <c r="J19" s="430"/>
      <c r="K19" s="430"/>
    </row>
    <row r="20" spans="1:11" x14ac:dyDescent="0.25">
      <c r="A20" s="444" t="s">
        <v>361</v>
      </c>
      <c r="B20" s="426">
        <v>0</v>
      </c>
      <c r="C20" s="424"/>
      <c r="D20" s="424">
        <v>85917</v>
      </c>
      <c r="E20" s="424">
        <v>0</v>
      </c>
      <c r="F20" s="424">
        <v>0</v>
      </c>
      <c r="G20" s="432">
        <v>0</v>
      </c>
      <c r="H20" s="419"/>
      <c r="I20" s="419"/>
      <c r="J20" s="430"/>
      <c r="K20" s="430"/>
    </row>
    <row r="21" spans="1:11" x14ac:dyDescent="0.25">
      <c r="A21" s="444" t="s">
        <v>362</v>
      </c>
      <c r="B21" s="426">
        <v>0</v>
      </c>
      <c r="C21" s="424"/>
      <c r="D21" s="424">
        <v>156763.35</v>
      </c>
      <c r="E21" s="424">
        <v>-43335</v>
      </c>
      <c r="F21" s="424">
        <v>868191</v>
      </c>
      <c r="G21" s="432">
        <v>-486476</v>
      </c>
      <c r="H21" s="419"/>
      <c r="I21" s="419"/>
      <c r="J21" s="430"/>
      <c r="K21" s="430"/>
    </row>
    <row r="22" spans="1:11" x14ac:dyDescent="0.25">
      <c r="A22" s="449" t="s">
        <v>363</v>
      </c>
      <c r="B22" s="426">
        <v>0</v>
      </c>
      <c r="C22" s="424"/>
      <c r="D22" s="424">
        <v>-83589.710000000021</v>
      </c>
      <c r="E22" s="424">
        <v>-248028.69000000006</v>
      </c>
      <c r="F22" s="424">
        <v>64868.261211215111</v>
      </c>
      <c r="G22" s="432">
        <v>90893.879431087174</v>
      </c>
      <c r="H22" s="419"/>
      <c r="I22" s="419"/>
      <c r="J22" s="430"/>
      <c r="K22" s="430"/>
    </row>
    <row r="23" spans="1:11" x14ac:dyDescent="0.25">
      <c r="A23" s="444" t="s">
        <v>364</v>
      </c>
      <c r="B23" s="426">
        <v>0</v>
      </c>
      <c r="C23" s="424"/>
      <c r="D23" s="424">
        <v>93701</v>
      </c>
      <c r="E23" s="424">
        <v>0</v>
      </c>
      <c r="F23" s="424">
        <v>0</v>
      </c>
      <c r="G23" s="432">
        <v>0</v>
      </c>
      <c r="H23" s="419"/>
      <c r="I23" s="419"/>
      <c r="J23" s="430"/>
      <c r="K23" s="430"/>
    </row>
    <row r="24" spans="1:11" x14ac:dyDescent="0.25">
      <c r="A24" s="444" t="s">
        <v>365</v>
      </c>
      <c r="B24" s="426">
        <v>0</v>
      </c>
      <c r="C24" s="424"/>
      <c r="D24" s="424">
        <v>-24662.90000000014</v>
      </c>
      <c r="E24" s="424">
        <v>286447.85000000009</v>
      </c>
      <c r="F24" s="424">
        <v>528542.16855384712</v>
      </c>
      <c r="G24" s="432">
        <v>229566.94278940035</v>
      </c>
      <c r="H24" s="419"/>
      <c r="I24" s="419"/>
      <c r="J24" s="430"/>
      <c r="K24" s="430"/>
    </row>
    <row r="25" spans="1:11" x14ac:dyDescent="0.25">
      <c r="A25" s="444" t="s">
        <v>366</v>
      </c>
      <c r="B25" s="426">
        <v>0</v>
      </c>
      <c r="C25" s="424"/>
      <c r="D25" s="424">
        <v>0</v>
      </c>
      <c r="E25" s="424">
        <v>-271499</v>
      </c>
      <c r="F25" s="424">
        <v>204716</v>
      </c>
      <c r="G25" s="432">
        <v>0</v>
      </c>
      <c r="H25" s="419"/>
      <c r="I25" s="419"/>
      <c r="J25" s="430"/>
      <c r="K25" s="430"/>
    </row>
    <row r="26" spans="1:11" x14ac:dyDescent="0.25">
      <c r="A26" s="444" t="s">
        <v>367</v>
      </c>
      <c r="B26" s="426">
        <v>0</v>
      </c>
      <c r="C26" s="424"/>
      <c r="D26" s="424">
        <v>0</v>
      </c>
      <c r="E26" s="424">
        <v>0</v>
      </c>
      <c r="F26" s="424">
        <v>63699.8</v>
      </c>
      <c r="G26" s="432">
        <v>0</v>
      </c>
      <c r="H26" s="419"/>
      <c r="I26" s="419"/>
      <c r="J26" s="430"/>
      <c r="K26" s="430"/>
    </row>
    <row r="27" spans="1:11" x14ac:dyDescent="0.25">
      <c r="A27" s="444" t="s">
        <v>368</v>
      </c>
      <c r="B27" s="426">
        <v>0</v>
      </c>
      <c r="C27" s="424"/>
      <c r="D27" s="424">
        <v>0</v>
      </c>
      <c r="E27" s="424">
        <v>325000</v>
      </c>
      <c r="F27" s="424">
        <v>-53000</v>
      </c>
      <c r="G27" s="432">
        <v>0</v>
      </c>
      <c r="H27" s="419"/>
      <c r="I27" s="419"/>
      <c r="J27" s="430"/>
      <c r="K27" s="430"/>
    </row>
    <row r="28" spans="1:11" x14ac:dyDescent="0.25">
      <c r="A28" s="449" t="s">
        <v>369</v>
      </c>
      <c r="B28" s="426">
        <v>0</v>
      </c>
      <c r="C28" s="424"/>
      <c r="D28" s="424">
        <v>0</v>
      </c>
      <c r="E28" s="424">
        <v>0</v>
      </c>
      <c r="F28" s="424">
        <v>151545</v>
      </c>
      <c r="G28" s="432">
        <v>-338303</v>
      </c>
      <c r="H28" s="419"/>
      <c r="I28" s="419"/>
      <c r="J28" s="430"/>
      <c r="K28" s="430"/>
    </row>
    <row r="29" spans="1:11" x14ac:dyDescent="0.25">
      <c r="A29" s="444" t="s">
        <v>370</v>
      </c>
      <c r="B29" s="426">
        <v>0</v>
      </c>
      <c r="C29" s="424"/>
      <c r="D29" s="424">
        <v>-41403.939999999653</v>
      </c>
      <c r="E29" s="424">
        <v>-157114.3000000006</v>
      </c>
      <c r="F29" s="424">
        <v>109337.12000000029</v>
      </c>
      <c r="G29" s="432">
        <v>-86950</v>
      </c>
      <c r="H29" s="419"/>
      <c r="I29" s="419"/>
      <c r="J29" s="430"/>
      <c r="K29" s="430"/>
    </row>
    <row r="30" spans="1:11" x14ac:dyDescent="0.25">
      <c r="A30" s="444" t="s">
        <v>371</v>
      </c>
      <c r="B30" s="426">
        <v>0</v>
      </c>
      <c r="C30" s="424"/>
      <c r="D30" s="424">
        <v>0</v>
      </c>
      <c r="E30" s="424">
        <v>0</v>
      </c>
      <c r="F30" s="424">
        <v>46299</v>
      </c>
      <c r="G30" s="432">
        <v>36011</v>
      </c>
      <c r="H30" s="419"/>
      <c r="I30" s="419"/>
      <c r="J30" s="430"/>
      <c r="K30" s="430"/>
    </row>
    <row r="31" spans="1:11" x14ac:dyDescent="0.25">
      <c r="A31" s="449" t="s">
        <v>372</v>
      </c>
      <c r="B31" s="426">
        <v>23613.360000000001</v>
      </c>
      <c r="C31" s="424"/>
      <c r="D31" s="424">
        <v>71297.240000000005</v>
      </c>
      <c r="E31" s="424">
        <v>100085.11</v>
      </c>
      <c r="F31" s="424">
        <v>-103544.08</v>
      </c>
      <c r="G31" s="432">
        <v>32993.32</v>
      </c>
      <c r="H31" s="419"/>
      <c r="I31" s="419"/>
      <c r="J31" s="430"/>
      <c r="K31" s="430"/>
    </row>
    <row r="32" spans="1:11" x14ac:dyDescent="0.25">
      <c r="A32" s="450" t="s">
        <v>373</v>
      </c>
      <c r="B32" s="451"/>
      <c r="C32" s="451"/>
      <c r="D32" s="451"/>
      <c r="E32" s="451"/>
      <c r="F32" s="451">
        <v>-93176</v>
      </c>
      <c r="G32" s="451">
        <v>268181</v>
      </c>
      <c r="H32" s="419"/>
      <c r="I32" s="419"/>
      <c r="J32" s="430"/>
      <c r="K32" s="430"/>
    </row>
    <row r="33" spans="1:11" x14ac:dyDescent="0.25">
      <c r="A33" s="452" t="s">
        <v>374</v>
      </c>
      <c r="B33" s="424"/>
      <c r="C33" s="424"/>
      <c r="D33" s="424"/>
      <c r="E33" s="424"/>
      <c r="F33" s="424">
        <v>-352799.99999999988</v>
      </c>
      <c r="G33" s="424">
        <v>352799.99999999988</v>
      </c>
      <c r="H33" s="419"/>
      <c r="I33" s="419"/>
      <c r="J33" s="430"/>
      <c r="K33" s="430"/>
    </row>
    <row r="34" spans="1:11" x14ac:dyDescent="0.25">
      <c r="A34" s="453" t="s">
        <v>375</v>
      </c>
      <c r="B34" s="451">
        <v>0</v>
      </c>
      <c r="C34" s="451"/>
      <c r="D34" s="451">
        <v>0</v>
      </c>
      <c r="E34" s="451">
        <v>0</v>
      </c>
      <c r="F34" s="451">
        <v>0</v>
      </c>
      <c r="G34" s="451">
        <v>-578846</v>
      </c>
      <c r="H34" s="419"/>
      <c r="I34" s="419"/>
      <c r="J34" s="430"/>
      <c r="K34" s="430"/>
    </row>
    <row r="35" spans="1:11" ht="15.75" thickBot="1" x14ac:dyDescent="0.3">
      <c r="A35" s="445" t="s">
        <v>117</v>
      </c>
      <c r="B35" s="425">
        <v>8789985.3599999994</v>
      </c>
      <c r="C35" s="425">
        <v>8789985.3599999994</v>
      </c>
      <c r="D35" s="425">
        <v>9120559.8499999978</v>
      </c>
      <c r="E35" s="425">
        <v>9112115.8199999966</v>
      </c>
      <c r="F35" s="425">
        <v>10546794.089765061</v>
      </c>
      <c r="G35" s="425">
        <v>10066665.231985549</v>
      </c>
      <c r="H35" s="419"/>
      <c r="I35" s="428"/>
      <c r="J35" s="447"/>
      <c r="K35" s="447"/>
    </row>
    <row r="36" spans="1:11" x14ac:dyDescent="0.25">
      <c r="A36" s="419"/>
      <c r="B36" s="419"/>
      <c r="C36" s="419"/>
      <c r="D36" s="419"/>
      <c r="E36" s="419"/>
      <c r="F36" s="419"/>
      <c r="G36" s="419"/>
      <c r="H36" s="419"/>
      <c r="I36" s="419"/>
      <c r="J36" s="430"/>
      <c r="K36" s="430"/>
    </row>
    <row r="37" spans="1:11" x14ac:dyDescent="0.25">
      <c r="A37" s="427" t="s">
        <v>82</v>
      </c>
      <c r="B37" s="419"/>
      <c r="C37" s="419"/>
      <c r="D37" s="419"/>
      <c r="E37" s="419"/>
      <c r="F37" s="419"/>
      <c r="G37" s="448"/>
      <c r="H37" s="419"/>
      <c r="I37" s="448"/>
      <c r="J37" s="419"/>
      <c r="K37" s="419"/>
    </row>
    <row r="39" spans="1:11" x14ac:dyDescent="0.25">
      <c r="A39" s="429">
        <v>1</v>
      </c>
      <c r="B39" s="423" t="s">
        <v>376</v>
      </c>
      <c r="C39" s="419"/>
      <c r="D39" s="419"/>
      <c r="E39" s="419"/>
      <c r="F39" s="419"/>
      <c r="G39" s="419"/>
      <c r="H39" s="419"/>
      <c r="I39" s="419"/>
      <c r="J39" s="419"/>
      <c r="K39" s="419"/>
    </row>
    <row r="40" spans="1:11" ht="40.5" customHeight="1" x14ac:dyDescent="0.25">
      <c r="A40" s="446">
        <v>2</v>
      </c>
      <c r="B40" s="1161" t="s">
        <v>377</v>
      </c>
      <c r="C40" s="1161"/>
      <c r="D40" s="1161"/>
      <c r="E40" s="1161"/>
      <c r="F40" s="1161"/>
      <c r="G40" s="1161"/>
      <c r="H40" s="419"/>
      <c r="I40" s="419"/>
      <c r="J40" s="419"/>
      <c r="K40" s="419"/>
    </row>
    <row r="41" spans="1:11" x14ac:dyDescent="0.25">
      <c r="A41" s="429">
        <v>3</v>
      </c>
      <c r="B41" s="1162" t="s">
        <v>378</v>
      </c>
      <c r="C41" s="1162"/>
      <c r="D41" s="1162"/>
      <c r="E41" s="1162"/>
      <c r="F41" s="1162"/>
      <c r="G41" s="1162"/>
      <c r="H41" s="419"/>
      <c r="I41" s="419"/>
      <c r="J41" s="419"/>
      <c r="K41" s="419"/>
    </row>
    <row r="42" spans="1:11" x14ac:dyDescent="0.25">
      <c r="A42" s="423"/>
      <c r="B42" s="1162"/>
      <c r="C42" s="1162"/>
      <c r="D42" s="1162"/>
      <c r="E42" s="1162"/>
      <c r="F42" s="1162"/>
      <c r="G42" s="1162"/>
      <c r="H42" s="419"/>
      <c r="I42" s="419"/>
      <c r="J42" s="419"/>
      <c r="K42" s="419"/>
    </row>
    <row r="43" spans="1:11" ht="32.25" customHeight="1" x14ac:dyDescent="0.25">
      <c r="A43" s="423"/>
      <c r="B43" s="1162"/>
      <c r="C43" s="1162"/>
      <c r="D43" s="1162"/>
      <c r="E43" s="1162"/>
      <c r="F43" s="1162"/>
      <c r="G43" s="1162"/>
      <c r="H43" s="419"/>
      <c r="I43" s="419"/>
      <c r="J43" s="419"/>
      <c r="K43" s="419"/>
    </row>
    <row r="44" spans="1:11" x14ac:dyDescent="0.25">
      <c r="A44" s="429">
        <v>4</v>
      </c>
      <c r="B44" s="1163" t="s">
        <v>379</v>
      </c>
      <c r="C44" s="1163"/>
      <c r="D44" s="1164"/>
      <c r="E44" s="1164"/>
      <c r="F44" s="1164"/>
      <c r="G44" s="1164"/>
      <c r="H44" s="419"/>
      <c r="I44" s="419"/>
      <c r="J44" s="419"/>
      <c r="K44" s="419"/>
    </row>
    <row r="45" spans="1:11" x14ac:dyDescent="0.25">
      <c r="A45" s="419"/>
      <c r="B45" s="1164"/>
      <c r="C45" s="1164"/>
      <c r="D45" s="1164"/>
      <c r="E45" s="1164"/>
      <c r="F45" s="1164"/>
      <c r="G45" s="1164"/>
      <c r="H45" s="419"/>
      <c r="I45" s="419"/>
      <c r="J45" s="419"/>
      <c r="K45" s="419"/>
    </row>
    <row r="46" spans="1:11" x14ac:dyDescent="0.25">
      <c r="A46" s="419"/>
      <c r="B46" s="419"/>
      <c r="C46" s="419"/>
      <c r="D46" s="419"/>
      <c r="E46" s="419"/>
      <c r="F46" s="419"/>
      <c r="G46" s="419"/>
      <c r="H46" s="419"/>
      <c r="I46" s="419"/>
      <c r="J46" s="419"/>
      <c r="K46" s="419"/>
    </row>
  </sheetData>
  <customSheetViews>
    <customSheetView guid="{FEE3C04B-CD27-4551-A1CF-8272225D231B}" topLeftCell="A25">
      <selection activeCell="A48" sqref="A48"/>
      <pageMargins left="0.7" right="0.7" top="0.75" bottom="0.75" header="0.3" footer="0.3"/>
    </customSheetView>
    <customSheetView guid="{957A2981-C0FE-4A89-90AC-F40944F7258F}" topLeftCell="A25">
      <selection activeCell="A48" sqref="A48"/>
      <pageMargins left="0.7" right="0.7" top="0.75" bottom="0.75" header="0.3" footer="0.3"/>
    </customSheetView>
    <customSheetView guid="{AE01795C-0F1A-4D22-B411-4CB1D681CFC8}" topLeftCell="A25">
      <selection activeCell="A48" sqref="A48"/>
      <pageMargins left="0.7" right="0.7" top="0.75" bottom="0.75" header="0.3" footer="0.3"/>
    </customSheetView>
  </customSheetViews>
  <mergeCells count="5">
    <mergeCell ref="B40:G40"/>
    <mergeCell ref="B41:G43"/>
    <mergeCell ref="B44:G45"/>
    <mergeCell ref="A10:G10"/>
    <mergeCell ref="A11: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37" workbookViewId="0">
      <selection activeCell="A53" sqref="A53"/>
    </sheetView>
  </sheetViews>
  <sheetFormatPr defaultRowHeight="15" x14ac:dyDescent="0.25"/>
  <cols>
    <col min="1" max="1" width="62.5703125" customWidth="1"/>
    <col min="2" max="5" width="10.28515625" bestFit="1" customWidth="1"/>
    <col min="6" max="7" width="11.28515625" bestFit="1" customWidth="1"/>
    <col min="8" max="8" width="12.7109375" bestFit="1" customWidth="1"/>
    <col min="9" max="9" width="10.28515625" bestFit="1" customWidth="1"/>
  </cols>
  <sheetData>
    <row r="1" spans="1:12" x14ac:dyDescent="0.25">
      <c r="A1" s="454"/>
      <c r="B1" s="454"/>
      <c r="C1" s="454"/>
      <c r="D1" s="454"/>
      <c r="E1" s="454"/>
      <c r="F1" s="454"/>
      <c r="G1" s="454"/>
      <c r="H1" s="455" t="s">
        <v>0</v>
      </c>
      <c r="I1" s="456">
        <v>0</v>
      </c>
      <c r="J1" s="454"/>
      <c r="K1" s="454"/>
      <c r="L1" s="454"/>
    </row>
    <row r="2" spans="1:12" x14ac:dyDescent="0.25">
      <c r="A2" s="454"/>
      <c r="B2" s="454"/>
      <c r="C2" s="454"/>
      <c r="D2" s="454"/>
      <c r="E2" s="454"/>
      <c r="F2" s="454"/>
      <c r="G2" s="454"/>
      <c r="H2" s="455" t="s">
        <v>1</v>
      </c>
      <c r="I2" s="457"/>
      <c r="J2" s="454"/>
      <c r="K2" s="454"/>
      <c r="L2" s="454"/>
    </row>
    <row r="3" spans="1:12" x14ac:dyDescent="0.25">
      <c r="A3" s="454"/>
      <c r="B3" s="454"/>
      <c r="C3" s="454"/>
      <c r="D3" s="454"/>
      <c r="E3" s="454"/>
      <c r="F3" s="454"/>
      <c r="G3" s="454"/>
      <c r="H3" s="455" t="s">
        <v>2</v>
      </c>
      <c r="I3" s="457"/>
      <c r="J3" s="454"/>
      <c r="K3" s="454"/>
      <c r="L3" s="454"/>
    </row>
    <row r="4" spans="1:12" x14ac:dyDescent="0.25">
      <c r="A4" s="454"/>
      <c r="B4" s="454"/>
      <c r="C4" s="454"/>
      <c r="D4" s="454"/>
      <c r="E4" s="454"/>
      <c r="F4" s="454"/>
      <c r="G4" s="454"/>
      <c r="H4" s="455" t="s">
        <v>3</v>
      </c>
      <c r="I4" s="457"/>
      <c r="J4" s="454"/>
      <c r="K4" s="454"/>
      <c r="L4" s="454"/>
    </row>
    <row r="5" spans="1:12" x14ac:dyDescent="0.25">
      <c r="A5" s="454"/>
      <c r="B5" s="454"/>
      <c r="C5" s="454"/>
      <c r="D5" s="454"/>
      <c r="E5" s="454"/>
      <c r="F5" s="454"/>
      <c r="G5" s="454"/>
      <c r="H5" s="455" t="s">
        <v>4</v>
      </c>
      <c r="I5" s="458"/>
      <c r="J5" s="454"/>
      <c r="K5" s="454"/>
      <c r="L5" s="454"/>
    </row>
    <row r="6" spans="1:12" x14ac:dyDescent="0.25">
      <c r="A6" s="454"/>
      <c r="B6" s="454"/>
      <c r="C6" s="454"/>
      <c r="D6" s="454"/>
      <c r="E6" s="454"/>
      <c r="F6" s="454"/>
      <c r="G6" s="454"/>
      <c r="H6" s="455"/>
      <c r="I6" s="456"/>
      <c r="J6" s="454"/>
      <c r="K6" s="454"/>
      <c r="L6" s="454"/>
    </row>
    <row r="7" spans="1:12" x14ac:dyDescent="0.25">
      <c r="A7" s="454"/>
      <c r="B7" s="454"/>
      <c r="C7" s="454"/>
      <c r="D7" s="454"/>
      <c r="E7" s="454"/>
      <c r="F7" s="454"/>
      <c r="G7" s="454"/>
      <c r="H7" s="455" t="s">
        <v>5</v>
      </c>
      <c r="I7" s="458"/>
      <c r="J7" s="454"/>
      <c r="K7" s="454"/>
      <c r="L7" s="454"/>
    </row>
    <row r="9" spans="1:12" ht="18" x14ac:dyDescent="0.25">
      <c r="A9" s="1168" t="s">
        <v>381</v>
      </c>
      <c r="B9" s="1168"/>
      <c r="C9" s="1168"/>
      <c r="D9" s="1168"/>
      <c r="E9" s="1168"/>
      <c r="F9" s="1168"/>
      <c r="G9" s="1168"/>
      <c r="H9" s="1168"/>
      <c r="I9" s="459"/>
      <c r="J9" s="454"/>
      <c r="K9" s="454"/>
      <c r="L9" s="454"/>
    </row>
    <row r="10" spans="1:12" ht="18" x14ac:dyDescent="0.25">
      <c r="A10" s="1168" t="s">
        <v>382</v>
      </c>
      <c r="B10" s="1168"/>
      <c r="C10" s="1168"/>
      <c r="D10" s="1168"/>
      <c r="E10" s="1168"/>
      <c r="F10" s="1168"/>
      <c r="G10" s="1168"/>
      <c r="H10" s="1168"/>
      <c r="I10" s="459"/>
      <c r="J10" s="454"/>
      <c r="K10" s="454"/>
      <c r="L10" s="454"/>
    </row>
    <row r="11" spans="1:12" x14ac:dyDescent="0.25">
      <c r="A11" s="454"/>
      <c r="B11" s="454"/>
      <c r="C11" s="454"/>
      <c r="D11" s="454"/>
      <c r="E11" s="454"/>
      <c r="F11" s="454"/>
      <c r="G11" s="454"/>
      <c r="H11" s="454"/>
      <c r="I11" s="454"/>
      <c r="J11" s="454"/>
      <c r="K11" s="468"/>
      <c r="L11" s="468"/>
    </row>
    <row r="12" spans="1:12" ht="15.75" thickBot="1" x14ac:dyDescent="0.3">
      <c r="A12" s="1169"/>
      <c r="B12" s="1169"/>
      <c r="C12" s="1169"/>
      <c r="D12" s="1169"/>
      <c r="E12" s="1169"/>
      <c r="F12" s="1169"/>
      <c r="G12" s="1169"/>
      <c r="H12" s="1169"/>
      <c r="I12" s="454"/>
      <c r="J12" s="454"/>
      <c r="K12" s="468"/>
      <c r="L12" s="468"/>
    </row>
    <row r="13" spans="1:12" ht="128.25" thickBot="1" x14ac:dyDescent="0.3">
      <c r="A13" s="460" t="s">
        <v>383</v>
      </c>
      <c r="B13" s="471" t="s">
        <v>319</v>
      </c>
      <c r="C13" s="471" t="s">
        <v>320</v>
      </c>
      <c r="D13" s="471" t="s">
        <v>321</v>
      </c>
      <c r="E13" s="471" t="s">
        <v>322</v>
      </c>
      <c r="F13" s="471" t="s">
        <v>9</v>
      </c>
      <c r="G13" s="472" t="s">
        <v>10</v>
      </c>
      <c r="H13" s="472" t="s">
        <v>384</v>
      </c>
      <c r="I13" s="472" t="s">
        <v>385</v>
      </c>
      <c r="J13" s="454"/>
      <c r="K13" s="468"/>
      <c r="L13" s="468"/>
    </row>
    <row r="14" spans="1:12" ht="24.75" thickBot="1" x14ac:dyDescent="0.3">
      <c r="A14" s="473" t="s">
        <v>11</v>
      </c>
      <c r="B14" s="474" t="s">
        <v>12</v>
      </c>
      <c r="C14" s="474" t="s">
        <v>12</v>
      </c>
      <c r="D14" s="474" t="s">
        <v>12</v>
      </c>
      <c r="E14" s="474" t="s">
        <v>13</v>
      </c>
      <c r="F14" s="474" t="s">
        <v>13</v>
      </c>
      <c r="G14" s="474" t="s">
        <v>13</v>
      </c>
      <c r="H14" s="474" t="s">
        <v>13</v>
      </c>
      <c r="I14" s="474" t="s">
        <v>12</v>
      </c>
      <c r="J14" s="454"/>
      <c r="K14" s="468"/>
      <c r="L14" s="468"/>
    </row>
    <row r="15" spans="1:12" x14ac:dyDescent="0.25">
      <c r="A15" s="475" t="s">
        <v>323</v>
      </c>
      <c r="B15" s="464"/>
      <c r="C15" s="462"/>
      <c r="D15" s="462"/>
      <c r="E15" s="462"/>
      <c r="F15" s="462"/>
      <c r="G15" s="462"/>
      <c r="H15" s="462"/>
      <c r="I15" s="462"/>
      <c r="J15" s="454"/>
      <c r="K15" s="468"/>
      <c r="L15" s="468"/>
    </row>
    <row r="16" spans="1:12" x14ac:dyDescent="0.25">
      <c r="A16" s="461" t="s">
        <v>386</v>
      </c>
      <c r="B16" s="469">
        <v>31852.542645742615</v>
      </c>
      <c r="C16" s="469">
        <v>30865.170000000002</v>
      </c>
      <c r="D16" s="469">
        <v>36340.129999999997</v>
      </c>
      <c r="E16" s="469">
        <v>37055.74</v>
      </c>
      <c r="F16" s="469">
        <v>37085.68</v>
      </c>
      <c r="G16" s="469">
        <v>38518</v>
      </c>
      <c r="H16" s="476">
        <v>1462.260000000002</v>
      </c>
      <c r="I16" s="476">
        <v>6665.4573542573853</v>
      </c>
      <c r="J16" s="454"/>
      <c r="K16" s="468"/>
      <c r="L16" s="468"/>
    </row>
    <row r="17" spans="1:12" x14ac:dyDescent="0.25">
      <c r="A17" s="461" t="s">
        <v>387</v>
      </c>
      <c r="B17" s="469">
        <v>146932.45917530954</v>
      </c>
      <c r="C17" s="469">
        <v>141745.61000000002</v>
      </c>
      <c r="D17" s="469">
        <v>116683.66</v>
      </c>
      <c r="E17" s="469">
        <v>91145.47</v>
      </c>
      <c r="F17" s="469">
        <v>115125.34</v>
      </c>
      <c r="G17" s="469">
        <v>104104.63</v>
      </c>
      <c r="H17" s="476">
        <v>12959.160000000003</v>
      </c>
      <c r="I17" s="476">
        <v>-42827.82917530954</v>
      </c>
      <c r="J17" s="454"/>
      <c r="K17" s="468"/>
      <c r="L17" s="468"/>
    </row>
    <row r="18" spans="1:12" x14ac:dyDescent="0.25">
      <c r="A18" s="461" t="s">
        <v>388</v>
      </c>
      <c r="B18" s="469">
        <v>15917.318964833057</v>
      </c>
      <c r="C18" s="469">
        <v>17225.260000000002</v>
      </c>
      <c r="D18" s="469">
        <v>49047.469999999994</v>
      </c>
      <c r="E18" s="469">
        <v>20970.21</v>
      </c>
      <c r="F18" s="469">
        <v>29918.18</v>
      </c>
      <c r="G18" s="469">
        <v>27419.35</v>
      </c>
      <c r="H18" s="476">
        <v>6449.1399999999994</v>
      </c>
      <c r="I18" s="476">
        <v>11502.031035166941</v>
      </c>
      <c r="J18" s="454"/>
      <c r="K18" s="468"/>
      <c r="L18" s="468"/>
    </row>
    <row r="19" spans="1:12" x14ac:dyDescent="0.25">
      <c r="A19" s="461" t="s">
        <v>389</v>
      </c>
      <c r="B19" s="469">
        <v>74881.20121109132</v>
      </c>
      <c r="C19" s="469">
        <v>89367.180000000008</v>
      </c>
      <c r="D19" s="469">
        <v>96998.250000000015</v>
      </c>
      <c r="E19" s="469">
        <v>103295.6</v>
      </c>
      <c r="F19" s="469">
        <v>140936.1</v>
      </c>
      <c r="G19" s="469">
        <v>133697.64000000001</v>
      </c>
      <c r="H19" s="476">
        <v>30402.040000000008</v>
      </c>
      <c r="I19" s="476">
        <v>58816.438788908694</v>
      </c>
      <c r="J19" s="454"/>
      <c r="K19" s="468"/>
      <c r="L19" s="468"/>
    </row>
    <row r="20" spans="1:12" x14ac:dyDescent="0.25">
      <c r="A20" s="461" t="s">
        <v>390</v>
      </c>
      <c r="B20" s="469">
        <v>35013.492168281722</v>
      </c>
      <c r="C20" s="469">
        <v>38568.11</v>
      </c>
      <c r="D20" s="469">
        <v>86327.53</v>
      </c>
      <c r="E20" s="469">
        <v>59729.799999999996</v>
      </c>
      <c r="F20" s="469">
        <v>129937.38</v>
      </c>
      <c r="G20" s="469">
        <v>120179.03</v>
      </c>
      <c r="H20" s="476">
        <v>60449.23</v>
      </c>
      <c r="I20" s="476">
        <v>85165.537831718277</v>
      </c>
      <c r="J20" s="454"/>
      <c r="K20" s="468"/>
      <c r="L20" s="468"/>
    </row>
    <row r="21" spans="1:12" x14ac:dyDescent="0.25">
      <c r="A21" s="461" t="s">
        <v>391</v>
      </c>
      <c r="B21" s="469">
        <v>248654.75801665182</v>
      </c>
      <c r="C21" s="469">
        <v>248606.80000000002</v>
      </c>
      <c r="D21" s="469">
        <v>329870.94</v>
      </c>
      <c r="E21" s="469">
        <v>282173.07</v>
      </c>
      <c r="F21" s="469">
        <v>266852.26</v>
      </c>
      <c r="G21" s="469">
        <v>298245.05000000005</v>
      </c>
      <c r="H21" s="476">
        <v>16071.98000000004</v>
      </c>
      <c r="I21" s="476">
        <v>49590.29198334823</v>
      </c>
      <c r="J21" s="454"/>
      <c r="K21" s="468"/>
      <c r="L21" s="468"/>
    </row>
    <row r="22" spans="1:12" x14ac:dyDescent="0.25">
      <c r="A22" s="461" t="s">
        <v>392</v>
      </c>
      <c r="B22" s="469">
        <v>317336.11500813806</v>
      </c>
      <c r="C22" s="469">
        <v>260782.16999999998</v>
      </c>
      <c r="D22" s="469">
        <v>276539.92</v>
      </c>
      <c r="E22" s="469">
        <v>307904.36</v>
      </c>
      <c r="F22" s="469">
        <v>338379.92</v>
      </c>
      <c r="G22" s="469">
        <v>308979.34999999998</v>
      </c>
      <c r="H22" s="476">
        <v>1074.9899999999907</v>
      </c>
      <c r="I22" s="476">
        <v>-8356.7650081380852</v>
      </c>
      <c r="J22" s="454"/>
      <c r="K22" s="468"/>
      <c r="L22" s="468"/>
    </row>
    <row r="23" spans="1:12" x14ac:dyDescent="0.25">
      <c r="A23" s="461" t="s">
        <v>393</v>
      </c>
      <c r="B23" s="469">
        <v>1000</v>
      </c>
      <c r="C23" s="469">
        <v>1746.3</v>
      </c>
      <c r="D23" s="469">
        <v>985.76</v>
      </c>
      <c r="E23" s="469">
        <v>325.35000000000002</v>
      </c>
      <c r="F23" s="469">
        <v>1576.58</v>
      </c>
      <c r="G23" s="469">
        <v>1507.27</v>
      </c>
      <c r="H23" s="476">
        <v>1181.92</v>
      </c>
      <c r="I23" s="476">
        <v>507.27</v>
      </c>
      <c r="J23" s="454"/>
      <c r="K23" s="468"/>
      <c r="L23" s="468"/>
    </row>
    <row r="24" spans="1:12" x14ac:dyDescent="0.25">
      <c r="A24" s="461" t="s">
        <v>394</v>
      </c>
      <c r="B24" s="469">
        <v>47508.858538244502</v>
      </c>
      <c r="C24" s="469">
        <v>465017.35</v>
      </c>
      <c r="D24" s="469">
        <v>451090.53</v>
      </c>
      <c r="E24" s="469">
        <v>427082.8</v>
      </c>
      <c r="F24" s="469">
        <v>320761.90000000002</v>
      </c>
      <c r="G24" s="469">
        <v>332023.11</v>
      </c>
      <c r="H24" s="476">
        <v>-95059.69</v>
      </c>
      <c r="I24" s="476">
        <v>284514.25146175548</v>
      </c>
      <c r="J24" s="454"/>
      <c r="K24" s="468"/>
      <c r="L24" s="468"/>
    </row>
    <row r="25" spans="1:12" x14ac:dyDescent="0.25">
      <c r="A25" s="461" t="s">
        <v>395</v>
      </c>
      <c r="B25" s="469">
        <v>313834.50427170738</v>
      </c>
      <c r="C25" s="469">
        <v>146441.14000000001</v>
      </c>
      <c r="D25" s="469">
        <v>125675.07</v>
      </c>
      <c r="E25" s="469">
        <v>221352.8</v>
      </c>
      <c r="F25" s="469">
        <v>292631.36</v>
      </c>
      <c r="G25" s="469">
        <v>223106.96</v>
      </c>
      <c r="H25" s="476">
        <v>1754.1600000000035</v>
      </c>
      <c r="I25" s="476">
        <v>-90727.544271707389</v>
      </c>
      <c r="J25" s="454"/>
      <c r="K25" s="468"/>
      <c r="L25" s="468"/>
    </row>
    <row r="26" spans="1:12" x14ac:dyDescent="0.25">
      <c r="A26" s="463" t="s">
        <v>25</v>
      </c>
      <c r="B26" s="470">
        <v>1232931.25</v>
      </c>
      <c r="C26" s="470">
        <v>1440365.0900000003</v>
      </c>
      <c r="D26" s="470">
        <v>1569559.26</v>
      </c>
      <c r="E26" s="470">
        <v>1551035.2</v>
      </c>
      <c r="F26" s="470">
        <v>1673204.6999999997</v>
      </c>
      <c r="G26" s="470">
        <v>1587780.3900000001</v>
      </c>
      <c r="H26" s="476">
        <v>36745.190000000177</v>
      </c>
      <c r="I26" s="476">
        <v>354849.14000000013</v>
      </c>
      <c r="J26" s="454"/>
      <c r="K26" s="468"/>
      <c r="L26" s="468"/>
    </row>
    <row r="27" spans="1:12" ht="26.25" x14ac:dyDescent="0.25">
      <c r="A27" s="477" t="s">
        <v>324</v>
      </c>
      <c r="B27" s="470"/>
      <c r="C27" s="470"/>
      <c r="D27" s="470"/>
      <c r="E27" s="470"/>
      <c r="F27" s="470"/>
      <c r="G27" s="470"/>
      <c r="H27" s="476"/>
      <c r="I27" s="476"/>
      <c r="J27" s="454"/>
      <c r="K27" s="468"/>
      <c r="L27" s="468"/>
    </row>
    <row r="28" spans="1:12" x14ac:dyDescent="0.25">
      <c r="A28" s="478" t="s">
        <v>394</v>
      </c>
      <c r="B28" s="469">
        <v>482237.51594754827</v>
      </c>
      <c r="C28" s="469">
        <v>259237.07</v>
      </c>
      <c r="D28" s="469">
        <v>519.16</v>
      </c>
      <c r="E28" s="469">
        <v>81810.210000000006</v>
      </c>
      <c r="F28" s="469">
        <v>0</v>
      </c>
      <c r="G28" s="469">
        <v>0</v>
      </c>
      <c r="H28" s="476">
        <v>-81810.210000000006</v>
      </c>
      <c r="I28" s="476">
        <v>-482237.51594754827</v>
      </c>
      <c r="J28" s="454"/>
      <c r="K28" s="468"/>
      <c r="L28" s="468"/>
    </row>
    <row r="29" spans="1:12" x14ac:dyDescent="0.25">
      <c r="A29" s="478" t="s">
        <v>388</v>
      </c>
      <c r="B29" s="469">
        <v>438676.72321673005</v>
      </c>
      <c r="C29" s="469">
        <v>414392.80000000016</v>
      </c>
      <c r="D29" s="469">
        <v>393459.46</v>
      </c>
      <c r="E29" s="469">
        <v>467726.59</v>
      </c>
      <c r="F29" s="469">
        <v>564508.21</v>
      </c>
      <c r="G29" s="469">
        <v>565820.88</v>
      </c>
      <c r="H29" s="476">
        <v>98094.289999999979</v>
      </c>
      <c r="I29" s="476">
        <v>127144.15678326995</v>
      </c>
      <c r="J29" s="454"/>
      <c r="K29" s="468"/>
      <c r="L29" s="468"/>
    </row>
    <row r="30" spans="1:12" x14ac:dyDescent="0.25">
      <c r="A30" s="478" t="s">
        <v>389</v>
      </c>
      <c r="B30" s="469">
        <v>401289.0120448331</v>
      </c>
      <c r="C30" s="469">
        <v>373731.34</v>
      </c>
      <c r="D30" s="469">
        <v>414058.93999999994</v>
      </c>
      <c r="E30" s="469">
        <v>399569.18</v>
      </c>
      <c r="F30" s="469">
        <v>412405.06</v>
      </c>
      <c r="G30" s="469">
        <v>421952.45</v>
      </c>
      <c r="H30" s="476">
        <v>22383.270000000019</v>
      </c>
      <c r="I30" s="476">
        <v>20663.437955166912</v>
      </c>
      <c r="J30" s="454"/>
      <c r="K30" s="468"/>
      <c r="L30" s="468"/>
    </row>
    <row r="31" spans="1:12" x14ac:dyDescent="0.25">
      <c r="A31" s="478" t="s">
        <v>396</v>
      </c>
      <c r="B31" s="469">
        <v>27822.154252787124</v>
      </c>
      <c r="C31" s="469">
        <v>42528.69</v>
      </c>
      <c r="D31" s="469">
        <v>110187.12000000001</v>
      </c>
      <c r="E31" s="469">
        <v>45938.42</v>
      </c>
      <c r="F31" s="469">
        <v>83692.59</v>
      </c>
      <c r="G31" s="469">
        <v>91836.44</v>
      </c>
      <c r="H31" s="476">
        <v>45898.020000000004</v>
      </c>
      <c r="I31" s="476">
        <v>64014.285747212882</v>
      </c>
      <c r="J31" s="454"/>
      <c r="K31" s="468"/>
      <c r="L31" s="468"/>
    </row>
    <row r="32" spans="1:12" x14ac:dyDescent="0.25">
      <c r="A32" s="478" t="s">
        <v>134</v>
      </c>
      <c r="B32" s="469">
        <v>200171.65492873773</v>
      </c>
      <c r="C32" s="469">
        <v>73543.19</v>
      </c>
      <c r="D32" s="469">
        <v>134026.21</v>
      </c>
      <c r="E32" s="469">
        <v>23439.69</v>
      </c>
      <c r="F32" s="469">
        <v>69370.02</v>
      </c>
      <c r="G32" s="469">
        <v>75832.570000000007</v>
      </c>
      <c r="H32" s="476">
        <v>52392.880000000005</v>
      </c>
      <c r="I32" s="476">
        <v>-124339.08492873772</v>
      </c>
      <c r="J32" s="454"/>
      <c r="K32" s="468"/>
      <c r="L32" s="468"/>
    </row>
    <row r="33" spans="1:12" x14ac:dyDescent="0.25">
      <c r="A33" s="478" t="s">
        <v>79</v>
      </c>
      <c r="B33" s="469">
        <v>4058.1852452635467</v>
      </c>
      <c r="C33" s="469">
        <v>6298.46</v>
      </c>
      <c r="D33" s="469">
        <v>15341.970000000001</v>
      </c>
      <c r="E33" s="469">
        <v>10840.51</v>
      </c>
      <c r="F33" s="469">
        <v>13746.29</v>
      </c>
      <c r="G33" s="469">
        <v>14471.32</v>
      </c>
      <c r="H33" s="476">
        <v>3630.8099999999995</v>
      </c>
      <c r="I33" s="476">
        <v>10413.134754736453</v>
      </c>
      <c r="J33" s="454"/>
      <c r="K33" s="468"/>
      <c r="L33" s="468"/>
    </row>
    <row r="34" spans="1:12" x14ac:dyDescent="0.25">
      <c r="A34" s="478" t="s">
        <v>397</v>
      </c>
      <c r="B34" s="469">
        <v>381217.87</v>
      </c>
      <c r="C34" s="469">
        <v>376223.23</v>
      </c>
      <c r="D34" s="469">
        <v>320061.86</v>
      </c>
      <c r="E34" s="469">
        <v>362950.23</v>
      </c>
      <c r="F34" s="469">
        <v>318605.09000000003</v>
      </c>
      <c r="G34" s="469">
        <v>346434.98</v>
      </c>
      <c r="H34" s="476">
        <v>-16515.25</v>
      </c>
      <c r="I34" s="476">
        <v>-34782.890000000014</v>
      </c>
      <c r="J34" s="454"/>
      <c r="K34" s="468"/>
      <c r="L34" s="468"/>
    </row>
    <row r="35" spans="1:12" x14ac:dyDescent="0.25">
      <c r="A35" s="478" t="s">
        <v>398</v>
      </c>
      <c r="B35" s="469">
        <v>111858.13436410014</v>
      </c>
      <c r="C35" s="469">
        <v>356751.41</v>
      </c>
      <c r="D35" s="469">
        <v>280500.49</v>
      </c>
      <c r="E35" s="469">
        <v>170594.06</v>
      </c>
      <c r="F35" s="469">
        <v>92343</v>
      </c>
      <c r="G35" s="469">
        <v>108657</v>
      </c>
      <c r="H35" s="476">
        <v>-61937.06</v>
      </c>
      <c r="I35" s="476">
        <v>-3201.134364100144</v>
      </c>
      <c r="J35" s="454"/>
      <c r="K35" s="468"/>
      <c r="L35" s="468"/>
    </row>
    <row r="36" spans="1:12" x14ac:dyDescent="0.25">
      <c r="A36" s="463" t="s">
        <v>25</v>
      </c>
      <c r="B36" s="470">
        <v>2047331.25</v>
      </c>
      <c r="C36" s="470">
        <v>1902706.19</v>
      </c>
      <c r="D36" s="470">
        <v>1668155.2099999997</v>
      </c>
      <c r="E36" s="470">
        <v>1562868.8900000001</v>
      </c>
      <c r="F36" s="470">
        <v>1554670.2600000002</v>
      </c>
      <c r="G36" s="470">
        <v>1625005.6400000001</v>
      </c>
      <c r="H36" s="476">
        <v>62136.75</v>
      </c>
      <c r="I36" s="476">
        <v>-422325.60999999987</v>
      </c>
      <c r="J36" s="454"/>
      <c r="K36" s="468"/>
      <c r="L36" s="468"/>
    </row>
    <row r="37" spans="1:12" x14ac:dyDescent="0.25">
      <c r="A37" s="477" t="s">
        <v>399</v>
      </c>
      <c r="B37" s="470"/>
      <c r="C37" s="470"/>
      <c r="D37" s="470"/>
      <c r="E37" s="470"/>
      <c r="F37" s="470"/>
      <c r="G37" s="470"/>
      <c r="H37" s="476"/>
      <c r="I37" s="476"/>
      <c r="J37" s="454"/>
      <c r="K37" s="468"/>
      <c r="L37" s="468"/>
    </row>
    <row r="38" spans="1:12" x14ac:dyDescent="0.25">
      <c r="A38" s="478" t="s">
        <v>400</v>
      </c>
      <c r="B38" s="469">
        <v>1511931.25</v>
      </c>
      <c r="C38" s="469">
        <v>1491525.08</v>
      </c>
      <c r="D38" s="469">
        <v>1741948.8900000001</v>
      </c>
      <c r="E38" s="469">
        <v>1889897.26</v>
      </c>
      <c r="F38" s="469">
        <v>1866011.8199999998</v>
      </c>
      <c r="G38" s="469">
        <v>1810368.92</v>
      </c>
      <c r="H38" s="476">
        <v>-79528.340000000084</v>
      </c>
      <c r="I38" s="476">
        <v>298437.66999999993</v>
      </c>
      <c r="J38" s="454"/>
      <c r="K38" s="468"/>
      <c r="L38" s="468"/>
    </row>
    <row r="39" spans="1:12" x14ac:dyDescent="0.25">
      <c r="A39" s="478" t="s">
        <v>401</v>
      </c>
      <c r="B39" s="469">
        <v>408000</v>
      </c>
      <c r="C39" s="469">
        <v>394459.74</v>
      </c>
      <c r="D39" s="469">
        <v>367529.28</v>
      </c>
      <c r="E39" s="469">
        <v>471575.05</v>
      </c>
      <c r="F39" s="469">
        <v>420174.63</v>
      </c>
      <c r="G39" s="469">
        <v>400556.65</v>
      </c>
      <c r="H39" s="476">
        <v>-71018.399999999965</v>
      </c>
      <c r="I39" s="476">
        <v>-7443.3499999999767</v>
      </c>
      <c r="J39" s="454"/>
      <c r="K39" s="468"/>
      <c r="L39" s="468"/>
    </row>
    <row r="40" spans="1:12" x14ac:dyDescent="0.25">
      <c r="A40" s="478" t="s">
        <v>402</v>
      </c>
      <c r="B40" s="469">
        <v>319900</v>
      </c>
      <c r="C40" s="469">
        <v>334187.64999999997</v>
      </c>
      <c r="D40" s="469">
        <v>396564.73000000004</v>
      </c>
      <c r="E40" s="469">
        <v>383637.61000000004</v>
      </c>
      <c r="F40" s="469">
        <v>400082.61</v>
      </c>
      <c r="G40" s="469">
        <v>467916</v>
      </c>
      <c r="H40" s="476">
        <v>84278.389999999956</v>
      </c>
      <c r="I40" s="476">
        <v>148016</v>
      </c>
      <c r="J40" s="454"/>
      <c r="K40" s="468"/>
      <c r="L40" s="468"/>
    </row>
    <row r="41" spans="1:12" x14ac:dyDescent="0.25">
      <c r="A41" s="478" t="s">
        <v>403</v>
      </c>
      <c r="B41" s="469">
        <v>319000</v>
      </c>
      <c r="C41" s="469">
        <v>357273.29</v>
      </c>
      <c r="D41" s="469">
        <v>366782.71999999997</v>
      </c>
      <c r="E41" s="469">
        <v>95283.9</v>
      </c>
      <c r="F41" s="469">
        <v>275692.79999999999</v>
      </c>
      <c r="G41" s="469">
        <v>283822</v>
      </c>
      <c r="H41" s="476">
        <v>188538.1</v>
      </c>
      <c r="I41" s="476">
        <v>-35178</v>
      </c>
      <c r="J41" s="454"/>
      <c r="K41" s="468"/>
      <c r="L41" s="468"/>
    </row>
    <row r="42" spans="1:12" x14ac:dyDescent="0.25">
      <c r="A42" s="478" t="s">
        <v>329</v>
      </c>
      <c r="B42" s="469">
        <v>97000</v>
      </c>
      <c r="C42" s="469">
        <v>37975.599999999999</v>
      </c>
      <c r="D42" s="469">
        <v>10278.700000000001</v>
      </c>
      <c r="E42" s="469">
        <v>11504.96</v>
      </c>
      <c r="F42" s="469">
        <v>16585</v>
      </c>
      <c r="G42" s="469">
        <v>16452</v>
      </c>
      <c r="H42" s="476">
        <v>4947.0400000000009</v>
      </c>
      <c r="I42" s="476">
        <v>-80548</v>
      </c>
      <c r="J42" s="454"/>
      <c r="K42" s="468"/>
      <c r="L42" s="468"/>
    </row>
    <row r="43" spans="1:12" x14ac:dyDescent="0.25">
      <c r="A43" s="463" t="s">
        <v>25</v>
      </c>
      <c r="B43" s="470">
        <v>2655831.25</v>
      </c>
      <c r="C43" s="470">
        <v>2615421.3600000003</v>
      </c>
      <c r="D43" s="470">
        <v>2883104.3200000003</v>
      </c>
      <c r="E43" s="470">
        <v>2851898.78</v>
      </c>
      <c r="F43" s="470">
        <v>2978546.8599999994</v>
      </c>
      <c r="G43" s="470">
        <v>2979115.57</v>
      </c>
      <c r="H43" s="476">
        <v>127216.79000000004</v>
      </c>
      <c r="I43" s="476">
        <v>323284.31999999983</v>
      </c>
      <c r="J43" s="454"/>
      <c r="K43" s="468"/>
      <c r="L43" s="468"/>
    </row>
    <row r="44" spans="1:12" x14ac:dyDescent="0.25">
      <c r="A44" s="477" t="s">
        <v>404</v>
      </c>
      <c r="B44" s="479"/>
      <c r="C44" s="479"/>
      <c r="D44" s="479"/>
      <c r="E44" s="479"/>
      <c r="F44" s="479"/>
      <c r="G44" s="479"/>
      <c r="H44" s="476"/>
      <c r="I44" s="476"/>
      <c r="J44" s="454"/>
      <c r="K44" s="468"/>
      <c r="L44" s="468"/>
    </row>
    <row r="45" spans="1:12" x14ac:dyDescent="0.25">
      <c r="A45" s="478" t="s">
        <v>405</v>
      </c>
      <c r="B45" s="469">
        <v>2240931.25</v>
      </c>
      <c r="C45" s="469">
        <v>2470207.88</v>
      </c>
      <c r="D45" s="469">
        <v>2215473.6</v>
      </c>
      <c r="E45" s="469">
        <v>2238470.29</v>
      </c>
      <c r="F45" s="469">
        <v>2982005.88</v>
      </c>
      <c r="G45" s="469">
        <v>2526298.0499999998</v>
      </c>
      <c r="H45" s="476">
        <v>287827.75999999978</v>
      </c>
      <c r="I45" s="476">
        <v>285366.79999999981</v>
      </c>
      <c r="J45" s="454"/>
      <c r="K45" s="468"/>
      <c r="L45" s="468"/>
    </row>
    <row r="46" spans="1:12" x14ac:dyDescent="0.25">
      <c r="A46" s="478" t="s">
        <v>406</v>
      </c>
      <c r="B46" s="469">
        <v>179000</v>
      </c>
      <c r="C46" s="469">
        <v>234429</v>
      </c>
      <c r="D46" s="469">
        <v>239422.9</v>
      </c>
      <c r="E46" s="469">
        <v>220823.53999999998</v>
      </c>
      <c r="F46" s="469">
        <v>237146.07</v>
      </c>
      <c r="G46" s="469">
        <v>235739</v>
      </c>
      <c r="H46" s="476">
        <v>14915.460000000021</v>
      </c>
      <c r="I46" s="476">
        <v>56739</v>
      </c>
      <c r="J46" s="454"/>
      <c r="K46" s="468"/>
      <c r="L46" s="468"/>
    </row>
    <row r="47" spans="1:12" x14ac:dyDescent="0.25">
      <c r="A47" s="478" t="s">
        <v>407</v>
      </c>
      <c r="B47" s="469">
        <v>274000</v>
      </c>
      <c r="C47" s="469">
        <v>411948.06</v>
      </c>
      <c r="D47" s="469">
        <v>355217.98</v>
      </c>
      <c r="E47" s="469">
        <v>582413.32000000007</v>
      </c>
      <c r="F47" s="469">
        <v>983978.58</v>
      </c>
      <c r="G47" s="469">
        <v>838914.2</v>
      </c>
      <c r="H47" s="476">
        <v>256500.87999999989</v>
      </c>
      <c r="I47" s="476">
        <v>564914.19999999995</v>
      </c>
      <c r="J47" s="454"/>
      <c r="K47" s="468"/>
      <c r="L47" s="468"/>
    </row>
    <row r="48" spans="1:12" x14ac:dyDescent="0.25">
      <c r="A48" s="478" t="s">
        <v>408</v>
      </c>
      <c r="B48" s="469">
        <v>224000</v>
      </c>
      <c r="C48" s="469">
        <v>250942.96</v>
      </c>
      <c r="D48" s="469">
        <v>189626.58</v>
      </c>
      <c r="E48" s="469">
        <v>104605.8</v>
      </c>
      <c r="F48" s="469">
        <v>137241.79999999999</v>
      </c>
      <c r="G48" s="469">
        <v>253781.8</v>
      </c>
      <c r="H48" s="476">
        <v>149176</v>
      </c>
      <c r="I48" s="476">
        <v>29781.799999999988</v>
      </c>
      <c r="J48" s="454"/>
      <c r="K48" s="468"/>
      <c r="L48" s="468"/>
    </row>
    <row r="49" spans="1:12" x14ac:dyDescent="0.25">
      <c r="A49" s="478" t="s">
        <v>409</v>
      </c>
      <c r="B49" s="469">
        <v>0</v>
      </c>
      <c r="C49" s="469">
        <v>-536035.18000000005</v>
      </c>
      <c r="D49" s="469">
        <v>0</v>
      </c>
      <c r="E49" s="469">
        <v>0</v>
      </c>
      <c r="F49" s="469">
        <v>0</v>
      </c>
      <c r="G49" s="469">
        <v>0</v>
      </c>
      <c r="H49" s="476">
        <v>0</v>
      </c>
      <c r="I49" s="476">
        <v>0</v>
      </c>
      <c r="J49" s="454"/>
      <c r="K49" s="468"/>
      <c r="L49" s="468"/>
    </row>
    <row r="50" spans="1:12" x14ac:dyDescent="0.25">
      <c r="A50" s="463" t="s">
        <v>25</v>
      </c>
      <c r="B50" s="470">
        <v>2917931.25</v>
      </c>
      <c r="C50" s="470">
        <v>2831492.7199999997</v>
      </c>
      <c r="D50" s="470">
        <v>2999741.06</v>
      </c>
      <c r="E50" s="470">
        <v>3146312.95</v>
      </c>
      <c r="F50" s="470">
        <v>4340372.3299999991</v>
      </c>
      <c r="G50" s="470">
        <v>3854733.05</v>
      </c>
      <c r="H50" s="476">
        <v>708420.09999999963</v>
      </c>
      <c r="I50" s="476">
        <v>936801.79999999981</v>
      </c>
      <c r="J50" s="454"/>
      <c r="K50" s="468"/>
      <c r="L50" s="468"/>
    </row>
    <row r="51" spans="1:12" ht="15.75" thickBot="1" x14ac:dyDescent="0.3">
      <c r="A51" s="465" t="s">
        <v>79</v>
      </c>
      <c r="B51" s="469">
        <v>0</v>
      </c>
      <c r="C51" s="469">
        <v>0</v>
      </c>
      <c r="D51" s="469">
        <v>0</v>
      </c>
      <c r="E51" s="469">
        <v>0</v>
      </c>
      <c r="F51" s="469">
        <v>0</v>
      </c>
      <c r="G51" s="469">
        <v>0</v>
      </c>
      <c r="H51" s="480">
        <v>0</v>
      </c>
      <c r="I51" s="480">
        <v>0</v>
      </c>
      <c r="J51" s="454"/>
      <c r="K51" s="468"/>
      <c r="L51" s="468"/>
    </row>
    <row r="52" spans="1:12" ht="16.5" thickTop="1" thickBot="1" x14ac:dyDescent="0.3">
      <c r="A52" s="466" t="s">
        <v>80</v>
      </c>
      <c r="B52" s="481">
        <v>8854025</v>
      </c>
      <c r="C52" s="481">
        <v>8789985.3599999994</v>
      </c>
      <c r="D52" s="481">
        <v>9120559.8499999996</v>
      </c>
      <c r="E52" s="481">
        <v>9112115.8200000003</v>
      </c>
      <c r="F52" s="481">
        <v>10546794.149999999</v>
      </c>
      <c r="G52" s="481">
        <v>10046634.649999999</v>
      </c>
      <c r="H52" s="481">
        <v>934518.82999999821</v>
      </c>
      <c r="I52" s="481">
        <v>1192609.6499999985</v>
      </c>
      <c r="J52" s="454"/>
      <c r="K52" s="468"/>
      <c r="L52" s="468"/>
    </row>
    <row r="53" spans="1:12" x14ac:dyDescent="0.25">
      <c r="A53" s="454"/>
      <c r="B53" s="454"/>
      <c r="C53" s="454"/>
      <c r="D53" s="454"/>
      <c r="E53" s="454"/>
      <c r="F53" s="454"/>
      <c r="G53" s="482"/>
      <c r="H53" s="454"/>
      <c r="I53" s="454"/>
      <c r="J53" s="454"/>
      <c r="K53" s="468"/>
      <c r="L53" s="468"/>
    </row>
    <row r="54" spans="1:12" x14ac:dyDescent="0.25">
      <c r="A54" s="467" t="s">
        <v>82</v>
      </c>
      <c r="B54" s="454"/>
      <c r="C54" s="454"/>
      <c r="D54" s="454"/>
      <c r="E54" s="454"/>
      <c r="F54" s="454"/>
      <c r="G54" s="483"/>
      <c r="H54" s="482"/>
      <c r="I54" s="454"/>
      <c r="J54" s="454"/>
      <c r="K54" s="468"/>
      <c r="L54" s="468"/>
    </row>
    <row r="56" spans="1:12" x14ac:dyDescent="0.25">
      <c r="A56" s="1166" t="s">
        <v>410</v>
      </c>
      <c r="B56" s="1166"/>
      <c r="C56" s="1166"/>
      <c r="D56" s="1166"/>
      <c r="E56" s="1166"/>
      <c r="F56" s="1166"/>
      <c r="G56" s="1166"/>
      <c r="H56" s="1166"/>
      <c r="I56" s="1166"/>
      <c r="J56" s="454"/>
      <c r="K56" s="454"/>
      <c r="L56" s="454"/>
    </row>
    <row r="57" spans="1:12" x14ac:dyDescent="0.25">
      <c r="A57" s="1166" t="s">
        <v>411</v>
      </c>
      <c r="B57" s="1166"/>
      <c r="C57" s="1166"/>
      <c r="D57" s="1166"/>
      <c r="E57" s="1166"/>
      <c r="F57" s="1166"/>
      <c r="G57" s="1166"/>
      <c r="H57" s="1166"/>
      <c r="I57" s="1166"/>
      <c r="J57" s="454"/>
      <c r="K57" s="454"/>
      <c r="L57" s="454"/>
    </row>
    <row r="58" spans="1:12" x14ac:dyDescent="0.25">
      <c r="A58" s="1166"/>
      <c r="B58" s="1166"/>
      <c r="C58" s="1166"/>
      <c r="D58" s="1166"/>
      <c r="E58" s="1166"/>
      <c r="F58" s="1166"/>
      <c r="G58" s="1166"/>
      <c r="H58" s="1166"/>
      <c r="I58" s="454"/>
      <c r="J58" s="454"/>
      <c r="K58" s="454"/>
      <c r="L58" s="454"/>
    </row>
    <row r="60" spans="1:12" x14ac:dyDescent="0.25">
      <c r="A60" s="1167"/>
      <c r="B60" s="1167"/>
      <c r="C60" s="1167"/>
      <c r="D60" s="1167"/>
      <c r="E60" s="1167"/>
      <c r="F60" s="1167"/>
      <c r="G60" s="1167"/>
      <c r="H60" s="1167"/>
      <c r="I60" s="1167"/>
      <c r="J60" s="454"/>
      <c r="K60" s="454"/>
      <c r="L60" s="454"/>
    </row>
    <row r="61" spans="1:12" x14ac:dyDescent="0.25">
      <c r="A61" s="1167"/>
      <c r="B61" s="1167"/>
      <c r="C61" s="1167"/>
      <c r="D61" s="1167"/>
      <c r="E61" s="1167"/>
      <c r="F61" s="1167"/>
      <c r="G61" s="1167"/>
      <c r="H61" s="1167"/>
      <c r="I61" s="1167"/>
      <c r="J61" s="454"/>
      <c r="K61" s="454"/>
      <c r="L61" s="454"/>
    </row>
    <row r="63" spans="1:12" x14ac:dyDescent="0.25">
      <c r="A63" s="455"/>
      <c r="B63" s="454"/>
      <c r="C63" s="454"/>
      <c r="D63" s="454"/>
      <c r="E63" s="454"/>
      <c r="F63" s="454"/>
      <c r="G63" s="454"/>
      <c r="H63" s="454"/>
      <c r="I63" s="454"/>
      <c r="J63" s="454"/>
      <c r="K63" s="454"/>
      <c r="L63" s="454"/>
    </row>
  </sheetData>
  <customSheetViews>
    <customSheetView guid="{FEE3C04B-CD27-4551-A1CF-8272225D231B}" topLeftCell="A37">
      <selection activeCell="A53" sqref="A53"/>
      <pageMargins left="0.7" right="0.7" top="0.75" bottom="0.75" header="0.3" footer="0.3"/>
    </customSheetView>
    <customSheetView guid="{957A2981-C0FE-4A89-90AC-F40944F7258F}" topLeftCell="A37">
      <selection activeCell="A53" sqref="A53"/>
      <pageMargins left="0.7" right="0.7" top="0.75" bottom="0.75" header="0.3" footer="0.3"/>
    </customSheetView>
    <customSheetView guid="{AE01795C-0F1A-4D22-B411-4CB1D681CFC8}" topLeftCell="A37">
      <selection activeCell="A53" sqref="A53"/>
      <pageMargins left="0.7" right="0.7" top="0.75" bottom="0.75" header="0.3" footer="0.3"/>
    </customSheetView>
  </customSheetViews>
  <mergeCells count="7">
    <mergeCell ref="A58:H58"/>
    <mergeCell ref="A60:I61"/>
    <mergeCell ref="A9:H9"/>
    <mergeCell ref="A10:H10"/>
    <mergeCell ref="A12:H12"/>
    <mergeCell ref="A56:I56"/>
    <mergeCell ref="A57:I5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28" sqref="B28:H29"/>
    </sheetView>
  </sheetViews>
  <sheetFormatPr defaultRowHeight="15" x14ac:dyDescent="0.25"/>
  <cols>
    <col min="2" max="2" width="15.7109375" customWidth="1"/>
    <col min="3" max="6" width="11.28515625" bestFit="1" customWidth="1"/>
    <col min="7" max="7" width="12.7109375" bestFit="1" customWidth="1"/>
    <col min="8" max="8" width="12.28515625" bestFit="1" customWidth="1"/>
  </cols>
  <sheetData>
    <row r="1" spans="1:12" x14ac:dyDescent="0.25">
      <c r="A1" s="484"/>
      <c r="B1" s="484"/>
      <c r="C1" s="484"/>
      <c r="D1" s="484"/>
      <c r="E1" s="484"/>
      <c r="F1" s="484"/>
      <c r="G1" s="491" t="s">
        <v>0</v>
      </c>
      <c r="H1" s="511">
        <v>0</v>
      </c>
      <c r="I1" s="484"/>
      <c r="J1" s="484"/>
      <c r="K1" s="484"/>
      <c r="L1" s="484"/>
    </row>
    <row r="2" spans="1:12" x14ac:dyDescent="0.25">
      <c r="A2" s="484"/>
      <c r="B2" s="484"/>
      <c r="C2" s="484"/>
      <c r="D2" s="484"/>
      <c r="E2" s="484"/>
      <c r="F2" s="484"/>
      <c r="G2" s="491" t="s">
        <v>1</v>
      </c>
      <c r="H2" s="486"/>
      <c r="I2" s="484"/>
      <c r="J2" s="484"/>
      <c r="K2" s="484"/>
      <c r="L2" s="484"/>
    </row>
    <row r="3" spans="1:12" x14ac:dyDescent="0.25">
      <c r="A3" s="484"/>
      <c r="B3" s="484"/>
      <c r="C3" s="484"/>
      <c r="D3" s="484"/>
      <c r="E3" s="484"/>
      <c r="F3" s="484"/>
      <c r="G3" s="491" t="s">
        <v>2</v>
      </c>
      <c r="H3" s="486"/>
      <c r="I3" s="484"/>
      <c r="J3" s="484"/>
      <c r="K3" s="484"/>
      <c r="L3" s="484"/>
    </row>
    <row r="4" spans="1:12" x14ac:dyDescent="0.25">
      <c r="A4" s="484"/>
      <c r="B4" s="484"/>
      <c r="C4" s="484"/>
      <c r="D4" s="484"/>
      <c r="E4" s="484"/>
      <c r="F4" s="484"/>
      <c r="G4" s="491" t="s">
        <v>3</v>
      </c>
      <c r="H4" s="486"/>
      <c r="I4" s="484"/>
      <c r="J4" s="484"/>
      <c r="K4" s="484"/>
      <c r="L4" s="484"/>
    </row>
    <row r="5" spans="1:12" x14ac:dyDescent="0.25">
      <c r="A5" s="484"/>
      <c r="B5" s="484"/>
      <c r="C5" s="484"/>
      <c r="D5" s="484"/>
      <c r="E5" s="484"/>
      <c r="F5" s="484"/>
      <c r="G5" s="491" t="s">
        <v>4</v>
      </c>
      <c r="H5" s="487"/>
      <c r="I5" s="484"/>
      <c r="J5" s="484"/>
      <c r="K5" s="484"/>
      <c r="L5" s="484"/>
    </row>
    <row r="6" spans="1:12" x14ac:dyDescent="0.25">
      <c r="A6" s="484"/>
      <c r="B6" s="484"/>
      <c r="C6" s="484"/>
      <c r="D6" s="484"/>
      <c r="E6" s="484"/>
      <c r="F6" s="484"/>
      <c r="G6" s="491"/>
      <c r="H6" s="485"/>
      <c r="I6" s="484"/>
      <c r="J6" s="484"/>
      <c r="K6" s="484"/>
      <c r="L6" s="484"/>
    </row>
    <row r="7" spans="1:12" x14ac:dyDescent="0.25">
      <c r="A7" s="484"/>
      <c r="B7" s="484"/>
      <c r="C7" s="484"/>
      <c r="D7" s="484"/>
      <c r="E7" s="484"/>
      <c r="F7" s="484"/>
      <c r="G7" s="491" t="s">
        <v>5</v>
      </c>
      <c r="H7" s="487"/>
      <c r="I7" s="484"/>
      <c r="J7" s="484"/>
      <c r="K7" s="484"/>
      <c r="L7" s="484"/>
    </row>
    <row r="9" spans="1:12" ht="18" x14ac:dyDescent="0.25">
      <c r="A9" s="1172" t="s">
        <v>412</v>
      </c>
      <c r="B9" s="1172"/>
      <c r="C9" s="1172"/>
      <c r="D9" s="1172"/>
      <c r="E9" s="1172"/>
      <c r="F9" s="1172"/>
      <c r="G9" s="1172"/>
      <c r="H9" s="1172"/>
      <c r="I9" s="484"/>
      <c r="J9" s="484"/>
      <c r="K9" s="484"/>
      <c r="L9" s="484"/>
    </row>
    <row r="10" spans="1:12" ht="21" x14ac:dyDescent="0.25">
      <c r="A10" s="1172" t="s">
        <v>413</v>
      </c>
      <c r="B10" s="1172"/>
      <c r="C10" s="1172"/>
      <c r="D10" s="1172"/>
      <c r="E10" s="1172"/>
      <c r="F10" s="1172"/>
      <c r="G10" s="1172"/>
      <c r="H10" s="1172"/>
      <c r="I10" s="484"/>
      <c r="J10" s="484"/>
      <c r="K10" s="484"/>
      <c r="L10" s="484"/>
    </row>
    <row r="11" spans="1:12" ht="15.75" thickBot="1" x14ac:dyDescent="0.3">
      <c r="A11" s="484"/>
      <c r="B11" s="484"/>
      <c r="C11" s="484"/>
      <c r="D11" s="484"/>
      <c r="E11" s="484"/>
      <c r="F11" s="484"/>
      <c r="G11" s="484"/>
      <c r="H11" s="484"/>
      <c r="I11" s="484"/>
      <c r="J11" s="484"/>
      <c r="K11" s="484"/>
      <c r="L11" s="484"/>
    </row>
    <row r="12" spans="1:12" ht="90" thickBot="1" x14ac:dyDescent="0.3">
      <c r="A12" s="496"/>
      <c r="B12" s="497"/>
      <c r="C12" s="498" t="s">
        <v>414</v>
      </c>
      <c r="D12" s="498" t="s">
        <v>415</v>
      </c>
      <c r="E12" s="492" t="s">
        <v>321</v>
      </c>
      <c r="F12" s="492" t="s">
        <v>322</v>
      </c>
      <c r="G12" s="492" t="s">
        <v>9</v>
      </c>
      <c r="H12" s="493" t="s">
        <v>10</v>
      </c>
      <c r="I12" s="484"/>
      <c r="J12" s="490"/>
      <c r="K12" s="490"/>
      <c r="L12" s="490"/>
    </row>
    <row r="13" spans="1:12" ht="15.75" thickBot="1" x14ac:dyDescent="0.3">
      <c r="A13" s="1183" t="s">
        <v>11</v>
      </c>
      <c r="B13" s="1184"/>
      <c r="C13" s="494"/>
      <c r="D13" s="494"/>
      <c r="E13" s="494"/>
      <c r="F13" s="494"/>
      <c r="G13" s="494"/>
      <c r="H13" s="495"/>
      <c r="I13" s="484"/>
      <c r="J13" s="490"/>
      <c r="K13" s="490"/>
      <c r="L13" s="490"/>
    </row>
    <row r="14" spans="1:12" x14ac:dyDescent="0.25">
      <c r="A14" s="1179" t="s">
        <v>416</v>
      </c>
      <c r="B14" s="1180"/>
      <c r="C14" s="499">
        <v>38548</v>
      </c>
      <c r="D14" s="499">
        <v>38401</v>
      </c>
      <c r="E14" s="499">
        <v>38685</v>
      </c>
      <c r="F14" s="499">
        <v>38968</v>
      </c>
      <c r="G14" s="499">
        <v>39342</v>
      </c>
      <c r="H14" s="500">
        <v>39722</v>
      </c>
      <c r="I14" s="484"/>
      <c r="J14" s="490"/>
      <c r="K14" s="490"/>
      <c r="L14" s="490"/>
    </row>
    <row r="15" spans="1:12" x14ac:dyDescent="0.25">
      <c r="A15" s="1181" t="s">
        <v>417</v>
      </c>
      <c r="B15" s="1182"/>
      <c r="C15" s="501">
        <v>8854025</v>
      </c>
      <c r="D15" s="501">
        <v>8789985.3599999994</v>
      </c>
      <c r="E15" s="501">
        <v>9120559.8499999978</v>
      </c>
      <c r="F15" s="501">
        <v>9112115.8199999966</v>
      </c>
      <c r="G15" s="501">
        <v>10899594.089765061</v>
      </c>
      <c r="H15" s="502">
        <v>10046634.233632036</v>
      </c>
      <c r="I15" s="484"/>
      <c r="J15" s="490"/>
      <c r="K15" s="490"/>
      <c r="L15" s="490"/>
    </row>
    <row r="16" spans="1:12" x14ac:dyDescent="0.25">
      <c r="A16" s="1175" t="s">
        <v>418</v>
      </c>
      <c r="B16" s="1176"/>
      <c r="C16" s="503">
        <v>229.68831067759677</v>
      </c>
      <c r="D16" s="503">
        <v>228.89990781490064</v>
      </c>
      <c r="E16" s="503">
        <v>235.76476282796943</v>
      </c>
      <c r="F16" s="503">
        <v>233.83586070622039</v>
      </c>
      <c r="G16" s="503">
        <v>277.04728000012864</v>
      </c>
      <c r="H16" s="504">
        <v>252.92367538472473</v>
      </c>
      <c r="I16" s="484"/>
      <c r="J16" s="490"/>
      <c r="K16" s="490"/>
      <c r="L16" s="490"/>
    </row>
    <row r="17" spans="1:12" x14ac:dyDescent="0.25">
      <c r="A17" s="1175" t="s">
        <v>419</v>
      </c>
      <c r="B17" s="1176"/>
      <c r="C17" s="512">
        <v>57.750769230769237</v>
      </c>
      <c r="D17" s="512">
        <v>57.580769230769235</v>
      </c>
      <c r="E17" s="512">
        <v>54.200991066536027</v>
      </c>
      <c r="F17" s="512">
        <v>55.547545278097452</v>
      </c>
      <c r="G17" s="512">
        <v>63.106575769189895</v>
      </c>
      <c r="H17" s="513">
        <v>65.553711666969662</v>
      </c>
      <c r="I17" s="484"/>
      <c r="J17" s="490"/>
      <c r="K17" s="490"/>
      <c r="L17" s="490"/>
    </row>
    <row r="18" spans="1:12" x14ac:dyDescent="0.25">
      <c r="A18" s="1175" t="s">
        <v>420</v>
      </c>
      <c r="B18" s="1176"/>
      <c r="C18" s="505">
        <v>667.48894453620323</v>
      </c>
      <c r="D18" s="505">
        <v>666.90668626010279</v>
      </c>
      <c r="E18" s="505">
        <v>713.73233660083974</v>
      </c>
      <c r="F18" s="505">
        <v>701.52514939962953</v>
      </c>
      <c r="G18" s="505">
        <v>623.4215613899255</v>
      </c>
      <c r="H18" s="506">
        <v>605.94585706753503</v>
      </c>
      <c r="I18" s="484"/>
      <c r="J18" s="490"/>
      <c r="K18" s="490"/>
      <c r="L18" s="490"/>
    </row>
    <row r="19" spans="1:12" ht="15.75" thickBot="1" x14ac:dyDescent="0.3">
      <c r="A19" s="1177" t="s">
        <v>421</v>
      </c>
      <c r="B19" s="1178"/>
      <c r="C19" s="507">
        <v>153314.40806649262</v>
      </c>
      <c r="D19" s="507">
        <v>152654.87900607841</v>
      </c>
      <c r="E19" s="507">
        <v>168272.93506134945</v>
      </c>
      <c r="F19" s="507">
        <v>164041.73711692222</v>
      </c>
      <c r="G19" s="507">
        <v>172717.24787651206</v>
      </c>
      <c r="H19" s="508">
        <v>153258.05325366804</v>
      </c>
      <c r="I19" s="484"/>
      <c r="J19" s="490"/>
      <c r="K19" s="490"/>
      <c r="L19" s="490"/>
    </row>
    <row r="21" spans="1:12" x14ac:dyDescent="0.25">
      <c r="A21" s="488" t="s">
        <v>82</v>
      </c>
      <c r="B21" s="484"/>
      <c r="C21" s="484"/>
      <c r="D21" s="484"/>
      <c r="E21" s="484"/>
      <c r="F21" s="484"/>
      <c r="G21" s="484"/>
      <c r="H21" s="484"/>
      <c r="I21" s="484"/>
      <c r="J21" s="484"/>
      <c r="K21" s="484"/>
      <c r="L21" s="484"/>
    </row>
    <row r="23" spans="1:12" x14ac:dyDescent="0.25">
      <c r="A23" s="509">
        <v>1</v>
      </c>
      <c r="B23" s="1170" t="s">
        <v>378</v>
      </c>
      <c r="C23" s="1170"/>
      <c r="D23" s="1170"/>
      <c r="E23" s="1170"/>
      <c r="F23" s="1170"/>
      <c r="G23" s="1170"/>
      <c r="H23" s="1170"/>
      <c r="I23" s="484"/>
      <c r="J23" s="484"/>
      <c r="K23" s="484"/>
      <c r="L23" s="484"/>
    </row>
    <row r="24" spans="1:12" x14ac:dyDescent="0.25">
      <c r="A24" s="489"/>
      <c r="B24" s="1170"/>
      <c r="C24" s="1170"/>
      <c r="D24" s="1170"/>
      <c r="E24" s="1170"/>
      <c r="F24" s="1170"/>
      <c r="G24" s="1170"/>
      <c r="H24" s="1170"/>
      <c r="I24" s="484"/>
      <c r="J24" s="484"/>
      <c r="K24" s="484"/>
      <c r="L24" s="484"/>
    </row>
    <row r="25" spans="1:12" ht="26.25" customHeight="1" x14ac:dyDescent="0.25">
      <c r="A25" s="489"/>
      <c r="B25" s="1170"/>
      <c r="C25" s="1170"/>
      <c r="D25" s="1170"/>
      <c r="E25" s="1170"/>
      <c r="F25" s="1170"/>
      <c r="G25" s="1170"/>
      <c r="H25" s="1170"/>
      <c r="I25" s="484"/>
      <c r="J25" s="484"/>
      <c r="K25" s="484"/>
      <c r="L25" s="484"/>
    </row>
    <row r="26" spans="1:12" x14ac:dyDescent="0.25">
      <c r="A26" s="509">
        <v>2</v>
      </c>
      <c r="B26" s="1173" t="s">
        <v>422</v>
      </c>
      <c r="C26" s="1173"/>
      <c r="D26" s="1173"/>
      <c r="E26" s="1173"/>
      <c r="F26" s="1173"/>
      <c r="G26" s="1173"/>
      <c r="H26" s="484"/>
      <c r="I26" s="484"/>
      <c r="J26" s="484"/>
      <c r="K26" s="484"/>
      <c r="L26" s="484"/>
    </row>
    <row r="27" spans="1:12" x14ac:dyDescent="0.25">
      <c r="A27" s="509">
        <v>3</v>
      </c>
      <c r="B27" s="1174" t="s">
        <v>423</v>
      </c>
      <c r="C27" s="1173"/>
      <c r="D27" s="1173"/>
      <c r="E27" s="1173"/>
      <c r="F27" s="1173"/>
      <c r="G27" s="1173"/>
      <c r="H27" s="484"/>
      <c r="I27" s="484"/>
      <c r="J27" s="484"/>
      <c r="K27" s="484"/>
      <c r="L27" s="484"/>
    </row>
    <row r="28" spans="1:12" x14ac:dyDescent="0.25">
      <c r="A28" s="509">
        <v>4</v>
      </c>
      <c r="B28" s="1171" t="s">
        <v>424</v>
      </c>
      <c r="C28" s="1171"/>
      <c r="D28" s="1171"/>
      <c r="E28" s="1171"/>
      <c r="F28" s="1171"/>
      <c r="G28" s="1171"/>
      <c r="H28" s="1171"/>
      <c r="I28" s="484"/>
      <c r="J28" s="484"/>
      <c r="K28" s="484"/>
      <c r="L28" s="484"/>
    </row>
    <row r="29" spans="1:12" x14ac:dyDescent="0.25">
      <c r="A29" s="510"/>
      <c r="B29" s="1171"/>
      <c r="C29" s="1171"/>
      <c r="D29" s="1171"/>
      <c r="E29" s="1171"/>
      <c r="F29" s="1171"/>
      <c r="G29" s="1171"/>
      <c r="H29" s="1171"/>
      <c r="I29" s="484"/>
      <c r="J29" s="484"/>
      <c r="K29" s="484"/>
      <c r="L29" s="484"/>
    </row>
  </sheetData>
  <customSheetViews>
    <customSheetView guid="{FEE3C04B-CD27-4551-A1CF-8272225D231B}">
      <selection activeCell="B28" sqref="B28:H29"/>
      <pageMargins left="0.7" right="0.7" top="0.75" bottom="0.75" header="0.3" footer="0.3"/>
    </customSheetView>
    <customSheetView guid="{957A2981-C0FE-4A89-90AC-F40944F7258F}">
      <selection activeCell="B28" sqref="B28:H29"/>
      <pageMargins left="0.7" right="0.7" top="0.75" bottom="0.75" header="0.3" footer="0.3"/>
    </customSheetView>
    <customSheetView guid="{AE01795C-0F1A-4D22-B411-4CB1D681CFC8}">
      <selection activeCell="B28" sqref="B28:H29"/>
      <pageMargins left="0.7" right="0.7" top="0.75" bottom="0.75" header="0.3" footer="0.3"/>
    </customSheetView>
  </customSheetViews>
  <mergeCells count="13">
    <mergeCell ref="B23:H25"/>
    <mergeCell ref="B28:H29"/>
    <mergeCell ref="A9:H9"/>
    <mergeCell ref="A10:H10"/>
    <mergeCell ref="B26:G26"/>
    <mergeCell ref="B27:G27"/>
    <mergeCell ref="A16:B16"/>
    <mergeCell ref="A17:B17"/>
    <mergeCell ref="A18:B18"/>
    <mergeCell ref="A19:B19"/>
    <mergeCell ref="A14:B14"/>
    <mergeCell ref="A15:B15"/>
    <mergeCell ref="A13:B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opLeftCell="A49" workbookViewId="0">
      <selection activeCell="W66" sqref="W66"/>
    </sheetView>
  </sheetViews>
  <sheetFormatPr defaultRowHeight="15" x14ac:dyDescent="0.25"/>
  <cols>
    <col min="1" max="1" width="9.140625" customWidth="1"/>
    <col min="2" max="2" width="0.7109375" customWidth="1"/>
    <col min="4" max="4" width="3.140625" customWidth="1"/>
    <col min="6" max="6" width="1.28515625" customWidth="1"/>
    <col min="8" max="8" width="1.140625" customWidth="1"/>
    <col min="9" max="9" width="10.140625" bestFit="1" customWidth="1"/>
    <col min="10" max="10" width="1.140625" customWidth="1"/>
    <col min="12" max="12" width="1.140625" customWidth="1"/>
    <col min="14" max="14" width="1" customWidth="1"/>
  </cols>
  <sheetData>
    <row r="1" spans="1:15" x14ac:dyDescent="0.25">
      <c r="A1" s="514"/>
      <c r="B1" s="514"/>
      <c r="C1" s="514"/>
      <c r="D1" s="514"/>
      <c r="E1" s="514"/>
      <c r="F1" s="514"/>
      <c r="G1" s="514"/>
      <c r="H1" s="514"/>
      <c r="I1" s="514"/>
      <c r="J1" s="514"/>
      <c r="K1" s="522" t="s">
        <v>0</v>
      </c>
      <c r="L1" s="514"/>
      <c r="M1" s="514"/>
      <c r="N1" s="514"/>
      <c r="O1" s="517">
        <v>0</v>
      </c>
    </row>
    <row r="2" spans="1:15" x14ac:dyDescent="0.25">
      <c r="A2" s="514"/>
      <c r="B2" s="514"/>
      <c r="C2" s="514"/>
      <c r="D2" s="514"/>
      <c r="E2" s="514"/>
      <c r="F2" s="514"/>
      <c r="G2" s="514"/>
      <c r="H2" s="514"/>
      <c r="I2" s="514"/>
      <c r="J2" s="514"/>
      <c r="K2" s="522" t="s">
        <v>1</v>
      </c>
      <c r="L2" s="514"/>
      <c r="M2" s="514"/>
      <c r="N2" s="514"/>
      <c r="O2" s="518"/>
    </row>
    <row r="3" spans="1:15" x14ac:dyDescent="0.25">
      <c r="A3" s="514"/>
      <c r="B3" s="514"/>
      <c r="C3" s="514"/>
      <c r="D3" s="514"/>
      <c r="E3" s="514"/>
      <c r="F3" s="514"/>
      <c r="G3" s="514"/>
      <c r="H3" s="514"/>
      <c r="I3" s="514"/>
      <c r="J3" s="514"/>
      <c r="K3" s="522" t="s">
        <v>2</v>
      </c>
      <c r="L3" s="514"/>
      <c r="M3" s="514"/>
      <c r="N3" s="514"/>
      <c r="O3" s="518"/>
    </row>
    <row r="4" spans="1:15" x14ac:dyDescent="0.25">
      <c r="A4" s="514"/>
      <c r="B4" s="514"/>
      <c r="C4" s="514"/>
      <c r="D4" s="514"/>
      <c r="E4" s="514"/>
      <c r="F4" s="514"/>
      <c r="G4" s="514"/>
      <c r="H4" s="514"/>
      <c r="I4" s="514"/>
      <c r="J4" s="514"/>
      <c r="K4" s="522" t="s">
        <v>3</v>
      </c>
      <c r="L4" s="514"/>
      <c r="M4" s="514"/>
      <c r="N4" s="514"/>
      <c r="O4" s="518"/>
    </row>
    <row r="5" spans="1:15" x14ac:dyDescent="0.25">
      <c r="A5" s="514"/>
      <c r="B5" s="514"/>
      <c r="C5" s="514"/>
      <c r="D5" s="514"/>
      <c r="E5" s="514"/>
      <c r="F5" s="514"/>
      <c r="G5" s="514"/>
      <c r="H5" s="514"/>
      <c r="I5" s="514"/>
      <c r="J5" s="514"/>
      <c r="K5" s="522" t="s">
        <v>4</v>
      </c>
      <c r="L5" s="514"/>
      <c r="M5" s="514"/>
      <c r="N5" s="514"/>
      <c r="O5" s="519"/>
    </row>
    <row r="6" spans="1:15" x14ac:dyDescent="0.25">
      <c r="A6" s="514"/>
      <c r="B6" s="514"/>
      <c r="C6" s="514"/>
      <c r="D6" s="514"/>
      <c r="E6" s="514"/>
      <c r="F6" s="514"/>
      <c r="G6" s="514"/>
      <c r="H6" s="514"/>
      <c r="I6" s="514"/>
      <c r="J6" s="514"/>
      <c r="K6" s="522"/>
      <c r="L6" s="514"/>
      <c r="M6" s="514"/>
      <c r="N6" s="514"/>
      <c r="O6" s="517"/>
    </row>
    <row r="7" spans="1:15" x14ac:dyDescent="0.25">
      <c r="A7" s="514"/>
      <c r="B7" s="514"/>
      <c r="C7" s="514"/>
      <c r="D7" s="514"/>
      <c r="E7" s="514"/>
      <c r="F7" s="514"/>
      <c r="G7" s="514"/>
      <c r="H7" s="514"/>
      <c r="I7" s="514"/>
      <c r="J7" s="514"/>
      <c r="K7" s="522" t="s">
        <v>5</v>
      </c>
      <c r="L7" s="514"/>
      <c r="M7" s="514"/>
      <c r="N7" s="514"/>
      <c r="O7" s="519"/>
    </row>
    <row r="10" spans="1:15" x14ac:dyDescent="0.25">
      <c r="A10" s="525"/>
      <c r="B10" s="525"/>
      <c r="C10" s="1185" t="s">
        <v>425</v>
      </c>
      <c r="D10" s="1185"/>
      <c r="E10" s="1185"/>
      <c r="F10" s="1185"/>
      <c r="G10" s="1185"/>
      <c r="H10" s="1185"/>
      <c r="I10" s="1185"/>
      <c r="J10" s="1185"/>
      <c r="K10" s="1185"/>
      <c r="L10" s="1185"/>
      <c r="M10" s="1185"/>
      <c r="N10" s="1185"/>
      <c r="O10" s="1185"/>
    </row>
    <row r="11" spans="1:15" x14ac:dyDescent="0.25">
      <c r="A11" s="525"/>
      <c r="B11" s="525"/>
      <c r="C11" s="1186" t="s">
        <v>426</v>
      </c>
      <c r="D11" s="1186"/>
      <c r="E11" s="1186"/>
      <c r="F11" s="1186"/>
      <c r="G11" s="1186"/>
      <c r="H11" s="1186"/>
      <c r="I11" s="1186"/>
      <c r="J11" s="1186"/>
      <c r="K11" s="1186"/>
      <c r="L11" s="1186"/>
      <c r="M11" s="1186"/>
      <c r="N11" s="1186"/>
      <c r="O11" s="1186"/>
    </row>
    <row r="12" spans="1:15" x14ac:dyDescent="0.25">
      <c r="A12" s="525"/>
      <c r="B12" s="525"/>
      <c r="C12" s="525"/>
      <c r="D12" s="525"/>
      <c r="E12" s="525"/>
      <c r="F12" s="525"/>
      <c r="G12" s="525"/>
      <c r="H12" s="525"/>
      <c r="I12" s="525"/>
      <c r="J12" s="525"/>
      <c r="K12" s="525"/>
      <c r="L12" s="525"/>
      <c r="M12" s="525"/>
      <c r="N12" s="525"/>
      <c r="O12" s="525"/>
    </row>
    <row r="13" spans="1:15" x14ac:dyDescent="0.25">
      <c r="A13" s="1187" t="s">
        <v>427</v>
      </c>
      <c r="B13" s="1187"/>
      <c r="C13" s="1187"/>
      <c r="D13" s="1187"/>
      <c r="E13" s="1187"/>
      <c r="F13" s="1187"/>
      <c r="G13" s="1187"/>
      <c r="H13" s="1187"/>
      <c r="I13" s="1187"/>
      <c r="J13" s="1187"/>
      <c r="K13" s="1187"/>
      <c r="L13" s="1187"/>
      <c r="M13" s="1187"/>
      <c r="N13" s="1187"/>
      <c r="O13" s="1187"/>
    </row>
    <row r="14" spans="1:15" x14ac:dyDescent="0.25">
      <c r="A14" s="526"/>
      <c r="B14" s="526"/>
      <c r="C14" s="526"/>
      <c r="D14" s="526"/>
      <c r="E14" s="526"/>
      <c r="F14" s="526"/>
      <c r="G14" s="526"/>
      <c r="H14" s="526"/>
      <c r="I14" s="526"/>
      <c r="J14" s="526"/>
      <c r="K14" s="526"/>
      <c r="L14" s="526"/>
      <c r="M14" s="526"/>
      <c r="N14" s="526"/>
      <c r="O14" s="526"/>
    </row>
    <row r="15" spans="1:15" x14ac:dyDescent="0.25">
      <c r="A15" s="516"/>
      <c r="B15" s="525"/>
      <c r="C15" s="525"/>
      <c r="D15" s="516"/>
      <c r="E15" s="516"/>
      <c r="F15" s="516"/>
      <c r="G15" s="527" t="s">
        <v>428</v>
      </c>
      <c r="H15" s="1191">
        <v>2013</v>
      </c>
      <c r="I15" s="1191"/>
      <c r="J15" s="1191"/>
      <c r="K15" s="516"/>
      <c r="L15" s="516"/>
      <c r="M15" s="516"/>
      <c r="N15" s="516"/>
      <c r="O15" s="516"/>
    </row>
    <row r="16" spans="1:15" x14ac:dyDescent="0.25">
      <c r="A16" s="525"/>
      <c r="B16" s="525"/>
      <c r="C16" s="525"/>
      <c r="D16" s="525"/>
      <c r="E16" s="525"/>
      <c r="F16" s="525"/>
      <c r="G16" s="525"/>
      <c r="H16" s="525"/>
      <c r="I16" s="525"/>
      <c r="J16" s="525"/>
      <c r="K16" s="525"/>
      <c r="L16" s="525"/>
      <c r="M16" s="525"/>
      <c r="N16" s="525"/>
      <c r="O16" s="525"/>
    </row>
    <row r="17" spans="1:18" x14ac:dyDescent="0.25">
      <c r="A17" s="1188" t="s">
        <v>429</v>
      </c>
      <c r="B17" s="528"/>
      <c r="C17" s="528"/>
      <c r="D17" s="528"/>
      <c r="E17" s="528"/>
      <c r="F17" s="528"/>
      <c r="G17" s="528"/>
      <c r="H17" s="528"/>
      <c r="I17" s="528"/>
      <c r="J17" s="528"/>
      <c r="K17" s="528"/>
      <c r="L17" s="528"/>
      <c r="M17" s="528"/>
      <c r="N17" s="528"/>
      <c r="O17" s="528"/>
      <c r="P17" s="514"/>
      <c r="Q17" s="514"/>
      <c r="R17" s="514"/>
    </row>
    <row r="18" spans="1:18" x14ac:dyDescent="0.25">
      <c r="A18" s="1189"/>
      <c r="B18" s="528"/>
      <c r="C18" s="529" t="s">
        <v>430</v>
      </c>
      <c r="D18" s="528"/>
      <c r="E18" s="1190" t="s">
        <v>431</v>
      </c>
      <c r="F18" s="1190"/>
      <c r="G18" s="1190"/>
      <c r="H18" s="1190"/>
      <c r="I18" s="1190"/>
      <c r="J18" s="530"/>
      <c r="K18" s="529" t="s">
        <v>432</v>
      </c>
      <c r="L18" s="531"/>
      <c r="M18" s="528"/>
      <c r="N18" s="528"/>
      <c r="O18" s="529" t="s">
        <v>433</v>
      </c>
      <c r="P18" s="514"/>
      <c r="Q18" s="514"/>
      <c r="R18" s="514"/>
    </row>
    <row r="19" spans="1:18" x14ac:dyDescent="0.25">
      <c r="A19" s="532"/>
      <c r="B19" s="528"/>
      <c r="C19" s="528"/>
      <c r="D19" s="528"/>
      <c r="E19" s="528"/>
      <c r="F19" s="528"/>
      <c r="G19" s="528"/>
      <c r="H19" s="528"/>
      <c r="I19" s="533"/>
      <c r="J19" s="533"/>
      <c r="K19" s="528"/>
      <c r="L19" s="528"/>
      <c r="M19" s="528"/>
      <c r="N19" s="528"/>
      <c r="O19" s="528"/>
      <c r="P19" s="514"/>
      <c r="Q19" s="514"/>
      <c r="R19" s="514"/>
    </row>
    <row r="20" spans="1:18" x14ac:dyDescent="0.25">
      <c r="A20" s="534"/>
      <c r="B20" s="528"/>
      <c r="C20" s="528"/>
      <c r="D20" s="528"/>
      <c r="E20" s="535" t="s">
        <v>434</v>
      </c>
      <c r="F20" s="536"/>
      <c r="G20" s="536"/>
      <c r="H20" s="536"/>
      <c r="I20" s="535" t="s">
        <v>435</v>
      </c>
      <c r="J20" s="528"/>
      <c r="K20" s="535" t="s">
        <v>434</v>
      </c>
      <c r="L20" s="536"/>
      <c r="M20" s="528"/>
      <c r="N20" s="528"/>
      <c r="O20" s="533" t="s">
        <v>435</v>
      </c>
      <c r="P20" s="520"/>
      <c r="Q20" s="514"/>
      <c r="R20" s="514"/>
    </row>
    <row r="21" spans="1:18" x14ac:dyDescent="0.25">
      <c r="A21" s="534"/>
      <c r="B21" s="528"/>
      <c r="C21" s="537" t="s">
        <v>436</v>
      </c>
      <c r="D21" s="528"/>
      <c r="E21" s="528"/>
      <c r="F21" s="528"/>
      <c r="G21" s="528"/>
      <c r="H21" s="528"/>
      <c r="I21" s="528"/>
      <c r="J21" s="528"/>
      <c r="K21" s="528"/>
      <c r="L21" s="528"/>
      <c r="M21" s="528"/>
      <c r="N21" s="528"/>
      <c r="O21" s="528"/>
      <c r="P21" s="520"/>
      <c r="Q21" s="514"/>
      <c r="R21" s="514"/>
    </row>
    <row r="22" spans="1:18" x14ac:dyDescent="0.25">
      <c r="A22" s="534">
        <v>1</v>
      </c>
      <c r="B22" s="528"/>
      <c r="C22" s="538" t="s">
        <v>437</v>
      </c>
      <c r="D22" s="528"/>
      <c r="E22" s="539">
        <v>0.56000000000000005</v>
      </c>
      <c r="F22" s="540"/>
      <c r="G22" s="541"/>
      <c r="H22" s="542"/>
      <c r="I22" s="543">
        <v>42413234.640000001</v>
      </c>
      <c r="J22" s="528"/>
      <c r="K22" s="539">
        <v>4.4956349999999999E-2</v>
      </c>
      <c r="L22" s="540"/>
      <c r="M22" s="541"/>
      <c r="N22" s="542"/>
      <c r="O22" s="543">
        <v>1906744.2211079639</v>
      </c>
      <c r="P22" s="520"/>
      <c r="Q22" s="544"/>
      <c r="R22" s="514"/>
    </row>
    <row r="23" spans="1:18" x14ac:dyDescent="0.25">
      <c r="A23" s="534">
        <v>2</v>
      </c>
      <c r="B23" s="528"/>
      <c r="C23" s="538" t="s">
        <v>438</v>
      </c>
      <c r="D23" s="528"/>
      <c r="E23" s="545">
        <v>0.04</v>
      </c>
      <c r="F23" s="540"/>
      <c r="G23" s="546"/>
      <c r="H23" s="546"/>
      <c r="I23" s="547">
        <v>3029516.7600000002</v>
      </c>
      <c r="J23" s="528"/>
      <c r="K23" s="545">
        <v>2.07E-2</v>
      </c>
      <c r="L23" s="540"/>
      <c r="M23" s="541"/>
      <c r="N23" s="542"/>
      <c r="O23" s="547">
        <v>62710.996932000002</v>
      </c>
      <c r="P23" s="520"/>
      <c r="Q23" s="514"/>
      <c r="R23" s="514"/>
    </row>
    <row r="24" spans="1:18" ht="15.75" thickBot="1" x14ac:dyDescent="0.3">
      <c r="A24" s="534">
        <v>3</v>
      </c>
      <c r="B24" s="528"/>
      <c r="C24" s="534" t="s">
        <v>439</v>
      </c>
      <c r="D24" s="528"/>
      <c r="E24" s="548">
        <v>0.60000000000000009</v>
      </c>
      <c r="F24" s="549"/>
      <c r="G24" s="548"/>
      <c r="H24" s="549"/>
      <c r="I24" s="550">
        <v>45442751.399999999</v>
      </c>
      <c r="J24" s="528"/>
      <c r="K24" s="551">
        <v>4.3339259999999998E-2</v>
      </c>
      <c r="L24" s="540"/>
      <c r="M24" s="552"/>
      <c r="N24" s="553"/>
      <c r="O24" s="550">
        <v>1969455.2180399639</v>
      </c>
      <c r="P24" s="520"/>
      <c r="Q24" s="514"/>
      <c r="R24" s="514"/>
    </row>
    <row r="25" spans="1:18" ht="15.75" thickTop="1" x14ac:dyDescent="0.25">
      <c r="A25" s="534"/>
      <c r="B25" s="528"/>
      <c r="C25" s="528"/>
      <c r="D25" s="528"/>
      <c r="E25" s="554"/>
      <c r="F25" s="555"/>
      <c r="G25" s="554"/>
      <c r="H25" s="555"/>
      <c r="I25" s="556"/>
      <c r="J25" s="528"/>
      <c r="K25" s="557"/>
      <c r="L25" s="540"/>
      <c r="M25" s="553"/>
      <c r="N25" s="553"/>
      <c r="O25" s="556"/>
      <c r="P25" s="520"/>
      <c r="Q25" s="514"/>
      <c r="R25" s="514"/>
    </row>
    <row r="26" spans="1:18" x14ac:dyDescent="0.25">
      <c r="A26" s="534"/>
      <c r="B26" s="528"/>
      <c r="C26" s="537" t="s">
        <v>440</v>
      </c>
      <c r="D26" s="528"/>
      <c r="E26" s="554"/>
      <c r="F26" s="555"/>
      <c r="G26" s="554"/>
      <c r="H26" s="555"/>
      <c r="I26" s="556"/>
      <c r="J26" s="528"/>
      <c r="K26" s="557"/>
      <c r="L26" s="540"/>
      <c r="M26" s="553"/>
      <c r="N26" s="553"/>
      <c r="O26" s="556"/>
      <c r="P26" s="520"/>
      <c r="Q26" s="514"/>
      <c r="R26" s="514"/>
    </row>
    <row r="27" spans="1:18" x14ac:dyDescent="0.25">
      <c r="A27" s="558">
        <v>4</v>
      </c>
      <c r="B27" s="559"/>
      <c r="C27" s="560" t="s">
        <v>441</v>
      </c>
      <c r="D27" s="559"/>
      <c r="E27" s="561">
        <v>0.4</v>
      </c>
      <c r="F27" s="562"/>
      <c r="G27" s="541"/>
      <c r="H27" s="542"/>
      <c r="I27" s="563">
        <v>30295167.600000001</v>
      </c>
      <c r="J27" s="559"/>
      <c r="K27" s="561">
        <v>8.9800000000000005E-2</v>
      </c>
      <c r="L27" s="562"/>
      <c r="M27" s="541"/>
      <c r="N27" s="542"/>
      <c r="O27" s="563">
        <v>2720506.0504800002</v>
      </c>
      <c r="P27" s="520"/>
      <c r="Q27" s="514"/>
      <c r="R27" s="514"/>
    </row>
    <row r="28" spans="1:18" x14ac:dyDescent="0.25">
      <c r="A28" s="558">
        <v>5</v>
      </c>
      <c r="B28" s="559"/>
      <c r="C28" s="560" t="s">
        <v>442</v>
      </c>
      <c r="D28" s="559"/>
      <c r="E28" s="564"/>
      <c r="F28" s="562"/>
      <c r="G28" s="541"/>
      <c r="H28" s="542"/>
      <c r="I28" s="565">
        <v>0</v>
      </c>
      <c r="J28" s="559"/>
      <c r="K28" s="564"/>
      <c r="L28" s="562"/>
      <c r="M28" s="541"/>
      <c r="N28" s="542"/>
      <c r="O28" s="565">
        <v>0</v>
      </c>
      <c r="P28" s="520"/>
      <c r="Q28" s="514"/>
      <c r="R28" s="514"/>
    </row>
    <row r="29" spans="1:18" ht="15.75" thickBot="1" x14ac:dyDescent="0.3">
      <c r="A29" s="534">
        <v>6</v>
      </c>
      <c r="B29" s="528"/>
      <c r="C29" s="534" t="s">
        <v>443</v>
      </c>
      <c r="D29" s="528"/>
      <c r="E29" s="548">
        <v>0.4</v>
      </c>
      <c r="F29" s="548"/>
      <c r="G29" s="548"/>
      <c r="H29" s="549"/>
      <c r="I29" s="550">
        <v>30295167.600000001</v>
      </c>
      <c r="J29" s="528"/>
      <c r="K29" s="551">
        <v>8.9799999999999991E-2</v>
      </c>
      <c r="L29" s="540"/>
      <c r="M29" s="553"/>
      <c r="N29" s="553"/>
      <c r="O29" s="550">
        <v>2720506.0504800002</v>
      </c>
      <c r="P29" s="520"/>
      <c r="Q29" s="514"/>
      <c r="R29" s="514"/>
    </row>
    <row r="30" spans="1:18" ht="15.75" thickTop="1" x14ac:dyDescent="0.25">
      <c r="A30" s="534"/>
      <c r="B30" s="528"/>
      <c r="C30" s="528"/>
      <c r="D30" s="528"/>
      <c r="E30" s="528"/>
      <c r="F30" s="528"/>
      <c r="G30" s="528"/>
      <c r="H30" s="528"/>
      <c r="I30" s="556"/>
      <c r="J30" s="528"/>
      <c r="K30" s="557"/>
      <c r="L30" s="557"/>
      <c r="M30" s="553"/>
      <c r="N30" s="553"/>
      <c r="O30" s="556"/>
      <c r="P30" s="520"/>
      <c r="Q30" s="514"/>
      <c r="R30" s="514"/>
    </row>
    <row r="31" spans="1:18" ht="15.75" thickBot="1" x14ac:dyDescent="0.3">
      <c r="A31" s="534">
        <v>7</v>
      </c>
      <c r="B31" s="528"/>
      <c r="C31" s="537" t="s">
        <v>80</v>
      </c>
      <c r="D31" s="528"/>
      <c r="E31" s="566">
        <v>1</v>
      </c>
      <c r="F31" s="566"/>
      <c r="G31" s="567"/>
      <c r="H31" s="567"/>
      <c r="I31" s="568">
        <v>75737919</v>
      </c>
      <c r="J31" s="528"/>
      <c r="K31" s="569">
        <v>6.1923556000000005E-2</v>
      </c>
      <c r="L31" s="557"/>
      <c r="M31" s="528"/>
      <c r="N31" s="528"/>
      <c r="O31" s="570">
        <v>4689961.2685199641</v>
      </c>
      <c r="P31" s="520"/>
      <c r="Q31" s="514"/>
      <c r="R31" s="571"/>
    </row>
    <row r="32" spans="1:18" ht="15.75" thickTop="1" x14ac:dyDescent="0.25">
      <c r="A32" s="521"/>
      <c r="B32" s="520"/>
      <c r="C32" s="520"/>
      <c r="D32" s="520"/>
      <c r="E32" s="520"/>
      <c r="F32" s="520"/>
      <c r="G32" s="520"/>
      <c r="H32" s="520"/>
      <c r="I32" s="572"/>
      <c r="J32" s="520"/>
      <c r="K32" s="520"/>
      <c r="L32" s="520"/>
      <c r="M32" s="520"/>
      <c r="N32" s="520"/>
      <c r="O32" s="520"/>
      <c r="P32" s="520"/>
      <c r="Q32" s="514"/>
      <c r="R32" s="571"/>
    </row>
    <row r="33" spans="1:16" x14ac:dyDescent="0.25">
      <c r="A33" s="521"/>
      <c r="B33" s="520"/>
      <c r="C33" s="520"/>
      <c r="D33" s="520"/>
      <c r="E33" s="520"/>
      <c r="F33" s="520"/>
      <c r="G33" s="520"/>
      <c r="H33" s="520"/>
      <c r="I33" s="523"/>
      <c r="J33" s="520"/>
      <c r="K33" s="520"/>
      <c r="L33" s="520"/>
      <c r="M33" s="520"/>
      <c r="N33" s="520"/>
      <c r="O33" s="520"/>
      <c r="P33" s="520"/>
    </row>
    <row r="34" spans="1:16" x14ac:dyDescent="0.25">
      <c r="A34" s="1194" t="s">
        <v>444</v>
      </c>
      <c r="B34" s="1194"/>
      <c r="C34" s="1194"/>
      <c r="D34" s="1194"/>
      <c r="E34" s="1194"/>
      <c r="F34" s="1194"/>
      <c r="G34" s="1194"/>
      <c r="H34" s="1194"/>
      <c r="I34" s="1194"/>
      <c r="J34" s="1194"/>
      <c r="K34" s="1194"/>
      <c r="L34" s="1194"/>
      <c r="M34" s="1194"/>
      <c r="N34" s="1194"/>
      <c r="O34" s="1194"/>
      <c r="P34" s="514"/>
    </row>
    <row r="35" spans="1:16" x14ac:dyDescent="0.25">
      <c r="A35" s="524" t="s">
        <v>95</v>
      </c>
      <c r="B35" s="514"/>
      <c r="C35" s="1193" t="s">
        <v>445</v>
      </c>
      <c r="D35" s="1193"/>
      <c r="E35" s="1193"/>
      <c r="F35" s="1193"/>
      <c r="G35" s="1193"/>
      <c r="H35" s="1193"/>
      <c r="I35" s="1193"/>
      <c r="J35" s="1193"/>
      <c r="K35" s="1193"/>
      <c r="L35" s="1193"/>
      <c r="M35" s="1193"/>
      <c r="N35" s="1193"/>
      <c r="O35" s="1193"/>
      <c r="P35" s="514"/>
    </row>
    <row r="36" spans="1:16" x14ac:dyDescent="0.25">
      <c r="A36" s="515"/>
      <c r="B36" s="514"/>
      <c r="C36" s="1192"/>
      <c r="D36" s="1192"/>
      <c r="E36" s="1192"/>
      <c r="F36" s="1192"/>
      <c r="G36" s="1192"/>
      <c r="H36" s="1192"/>
      <c r="I36" s="1192"/>
      <c r="J36" s="1192"/>
      <c r="K36" s="1192"/>
      <c r="L36" s="1192"/>
      <c r="M36" s="1192"/>
      <c r="N36" s="1192"/>
      <c r="O36" s="1192"/>
      <c r="P36" s="514"/>
    </row>
    <row r="37" spans="1:16" x14ac:dyDescent="0.25">
      <c r="A37" s="515"/>
      <c r="B37" s="514"/>
      <c r="C37" s="1192"/>
      <c r="D37" s="1192"/>
      <c r="E37" s="1192"/>
      <c r="F37" s="1192"/>
      <c r="G37" s="1192"/>
      <c r="H37" s="1192"/>
      <c r="I37" s="1192"/>
      <c r="J37" s="1192"/>
      <c r="K37" s="1192"/>
      <c r="L37" s="1192"/>
      <c r="M37" s="1192"/>
      <c r="N37" s="1192"/>
      <c r="O37" s="1192"/>
      <c r="P37" s="514"/>
    </row>
    <row r="38" spans="1:16" x14ac:dyDescent="0.25">
      <c r="A38" s="515"/>
      <c r="B38" s="514"/>
      <c r="C38" s="1192"/>
      <c r="D38" s="1192"/>
      <c r="E38" s="1192"/>
      <c r="F38" s="1192"/>
      <c r="G38" s="1192"/>
      <c r="H38" s="1192"/>
      <c r="I38" s="1192"/>
      <c r="J38" s="1192"/>
      <c r="K38" s="1192"/>
      <c r="L38" s="1192"/>
      <c r="M38" s="1192"/>
      <c r="N38" s="1192"/>
      <c r="O38" s="1192"/>
      <c r="P38" s="514"/>
    </row>
    <row r="39" spans="1:16" x14ac:dyDescent="0.25">
      <c r="A39" s="515"/>
      <c r="B39" s="514"/>
      <c r="C39" s="1192"/>
      <c r="D39" s="1192"/>
      <c r="E39" s="1192"/>
      <c r="F39" s="1192"/>
      <c r="G39" s="1192"/>
      <c r="H39" s="1192"/>
      <c r="I39" s="1192"/>
      <c r="J39" s="1192"/>
      <c r="K39" s="1192"/>
      <c r="L39" s="1192"/>
      <c r="M39" s="1192"/>
      <c r="N39" s="1192"/>
      <c r="O39" s="1192"/>
      <c r="P39" s="514"/>
    </row>
    <row r="40" spans="1:16" x14ac:dyDescent="0.25">
      <c r="A40" s="515"/>
      <c r="B40" s="514"/>
      <c r="C40" s="1192"/>
      <c r="D40" s="1192"/>
      <c r="E40" s="1192"/>
      <c r="F40" s="1192"/>
      <c r="G40" s="1192"/>
      <c r="H40" s="1192"/>
      <c r="I40" s="1192"/>
      <c r="J40" s="1192"/>
      <c r="K40" s="1192"/>
      <c r="L40" s="1192"/>
      <c r="M40" s="1192"/>
      <c r="N40" s="1192"/>
      <c r="O40" s="1192"/>
      <c r="P40" s="514"/>
    </row>
    <row r="41" spans="1:16" x14ac:dyDescent="0.25">
      <c r="A41" s="515"/>
      <c r="B41" s="514"/>
      <c r="C41" s="1192"/>
      <c r="D41" s="1192"/>
      <c r="E41" s="1192"/>
      <c r="F41" s="1192"/>
      <c r="G41" s="1192"/>
      <c r="H41" s="1192"/>
      <c r="I41" s="1192"/>
      <c r="J41" s="1192"/>
      <c r="K41" s="1192"/>
      <c r="L41" s="1192"/>
      <c r="M41" s="1192"/>
      <c r="N41" s="1192"/>
      <c r="O41" s="1192"/>
      <c r="P41" s="514"/>
    </row>
    <row r="44" spans="1:16" x14ac:dyDescent="0.25">
      <c r="A44" s="525"/>
      <c r="B44" s="525"/>
      <c r="C44" s="1185" t="s">
        <v>425</v>
      </c>
      <c r="D44" s="1185"/>
      <c r="E44" s="1185"/>
      <c r="F44" s="1185"/>
      <c r="G44" s="1185"/>
      <c r="H44" s="1185"/>
      <c r="I44" s="1185"/>
      <c r="J44" s="1185"/>
      <c r="K44" s="1185"/>
      <c r="L44" s="1185"/>
      <c r="M44" s="1185"/>
      <c r="N44" s="1185"/>
      <c r="O44" s="1185"/>
      <c r="P44" s="514"/>
    </row>
    <row r="45" spans="1:16" x14ac:dyDescent="0.25">
      <c r="A45" s="525"/>
      <c r="B45" s="525"/>
      <c r="C45" s="1186" t="s">
        <v>426</v>
      </c>
      <c r="D45" s="1186"/>
      <c r="E45" s="1186"/>
      <c r="F45" s="1186"/>
      <c r="G45" s="1186"/>
      <c r="H45" s="1186"/>
      <c r="I45" s="1186"/>
      <c r="J45" s="1186"/>
      <c r="K45" s="1186"/>
      <c r="L45" s="1186"/>
      <c r="M45" s="1186"/>
      <c r="N45" s="1186"/>
      <c r="O45" s="1186"/>
      <c r="P45" s="514"/>
    </row>
    <row r="46" spans="1:16" x14ac:dyDescent="0.25">
      <c r="A46" s="525"/>
      <c r="B46" s="525"/>
      <c r="C46" s="525"/>
      <c r="D46" s="525"/>
      <c r="E46" s="525"/>
      <c r="F46" s="525"/>
      <c r="G46" s="525"/>
      <c r="H46" s="525"/>
      <c r="I46" s="525"/>
      <c r="J46" s="525"/>
      <c r="K46" s="525"/>
      <c r="L46" s="525"/>
      <c r="M46" s="525"/>
      <c r="N46" s="525"/>
      <c r="O46" s="525"/>
      <c r="P46" s="514"/>
    </row>
    <row r="47" spans="1:16" x14ac:dyDescent="0.25">
      <c r="A47" s="1187" t="s">
        <v>427</v>
      </c>
      <c r="B47" s="1187"/>
      <c r="C47" s="1187"/>
      <c r="D47" s="1187"/>
      <c r="E47" s="1187"/>
      <c r="F47" s="1187"/>
      <c r="G47" s="1187"/>
      <c r="H47" s="1187"/>
      <c r="I47" s="1187"/>
      <c r="J47" s="1187"/>
      <c r="K47" s="1187"/>
      <c r="L47" s="1187"/>
      <c r="M47" s="1187"/>
      <c r="N47" s="1187"/>
      <c r="O47" s="1187"/>
      <c r="P47" s="514"/>
    </row>
    <row r="48" spans="1:16" x14ac:dyDescent="0.25">
      <c r="A48" s="526"/>
      <c r="B48" s="526"/>
      <c r="C48" s="526"/>
      <c r="D48" s="526"/>
      <c r="E48" s="526"/>
      <c r="F48" s="526"/>
      <c r="G48" s="526"/>
      <c r="H48" s="526"/>
      <c r="I48" s="526"/>
      <c r="J48" s="526"/>
      <c r="K48" s="526"/>
      <c r="L48" s="526"/>
      <c r="M48" s="526"/>
      <c r="N48" s="526"/>
      <c r="O48" s="526"/>
      <c r="P48" s="514"/>
    </row>
    <row r="49" spans="1:15" x14ac:dyDescent="0.25">
      <c r="A49" s="516"/>
      <c r="B49" s="525"/>
      <c r="C49" s="525"/>
      <c r="D49" s="516"/>
      <c r="E49" s="516"/>
      <c r="F49" s="516"/>
      <c r="G49" s="527" t="s">
        <v>428</v>
      </c>
      <c r="H49" s="1191">
        <v>2017</v>
      </c>
      <c r="I49" s="1191"/>
      <c r="J49" s="1191"/>
      <c r="K49" s="516"/>
      <c r="L49" s="516"/>
      <c r="M49" s="516"/>
      <c r="N49" s="516"/>
      <c r="O49" s="516"/>
    </row>
    <row r="50" spans="1:15" x14ac:dyDescent="0.25">
      <c r="A50" s="525"/>
      <c r="B50" s="525"/>
      <c r="C50" s="525"/>
      <c r="D50" s="525"/>
      <c r="E50" s="525"/>
      <c r="F50" s="525"/>
      <c r="G50" s="525"/>
      <c r="H50" s="525"/>
      <c r="I50" s="525"/>
      <c r="J50" s="525"/>
      <c r="K50" s="525"/>
      <c r="L50" s="525"/>
      <c r="M50" s="525"/>
      <c r="N50" s="525"/>
      <c r="O50" s="525"/>
    </row>
    <row r="51" spans="1:15" x14ac:dyDescent="0.25">
      <c r="A51" s="1188" t="s">
        <v>429</v>
      </c>
      <c r="B51" s="528"/>
      <c r="C51" s="528"/>
      <c r="D51" s="528"/>
      <c r="E51" s="528"/>
      <c r="F51" s="528"/>
      <c r="G51" s="528"/>
      <c r="H51" s="528"/>
      <c r="I51" s="528"/>
      <c r="J51" s="528"/>
      <c r="K51" s="528"/>
      <c r="L51" s="528"/>
      <c r="M51" s="528"/>
      <c r="N51" s="528"/>
      <c r="O51" s="528"/>
    </row>
    <row r="52" spans="1:15" x14ac:dyDescent="0.25">
      <c r="A52" s="1189"/>
      <c r="B52" s="528"/>
      <c r="C52" s="529" t="s">
        <v>430</v>
      </c>
      <c r="D52" s="528"/>
      <c r="E52" s="1190" t="s">
        <v>431</v>
      </c>
      <c r="F52" s="1190"/>
      <c r="G52" s="1190"/>
      <c r="H52" s="1190"/>
      <c r="I52" s="1190"/>
      <c r="J52" s="530"/>
      <c r="K52" s="529" t="s">
        <v>432</v>
      </c>
      <c r="L52" s="531"/>
      <c r="M52" s="528"/>
      <c r="N52" s="528"/>
      <c r="O52" s="529" t="s">
        <v>433</v>
      </c>
    </row>
    <row r="53" spans="1:15" x14ac:dyDescent="0.25">
      <c r="A53" s="532"/>
      <c r="B53" s="528"/>
      <c r="C53" s="528"/>
      <c r="D53" s="528"/>
      <c r="E53" s="528"/>
      <c r="F53" s="528"/>
      <c r="G53" s="528"/>
      <c r="H53" s="528"/>
      <c r="I53" s="533"/>
      <c r="J53" s="533"/>
      <c r="K53" s="528"/>
      <c r="L53" s="528"/>
      <c r="M53" s="528"/>
      <c r="N53" s="528"/>
      <c r="O53" s="528"/>
    </row>
    <row r="54" spans="1:15" x14ac:dyDescent="0.25">
      <c r="A54" s="534"/>
      <c r="B54" s="528"/>
      <c r="C54" s="528"/>
      <c r="D54" s="528"/>
      <c r="E54" s="535" t="s">
        <v>434</v>
      </c>
      <c r="F54" s="536"/>
      <c r="G54" s="536"/>
      <c r="H54" s="536"/>
      <c r="I54" s="535" t="s">
        <v>435</v>
      </c>
      <c r="J54" s="528"/>
      <c r="K54" s="535" t="s">
        <v>434</v>
      </c>
      <c r="L54" s="536"/>
      <c r="M54" s="528"/>
      <c r="N54" s="528"/>
      <c r="O54" s="533" t="s">
        <v>435</v>
      </c>
    </row>
    <row r="55" spans="1:15" x14ac:dyDescent="0.25">
      <c r="A55" s="534"/>
      <c r="B55" s="528"/>
      <c r="C55" s="537" t="s">
        <v>436</v>
      </c>
      <c r="D55" s="528"/>
      <c r="E55" s="528"/>
      <c r="F55" s="528"/>
      <c r="G55" s="528"/>
      <c r="H55" s="528"/>
      <c r="I55" s="528"/>
      <c r="J55" s="528"/>
      <c r="K55" s="528"/>
      <c r="L55" s="528"/>
      <c r="M55" s="528"/>
      <c r="N55" s="528"/>
      <c r="O55" s="528"/>
    </row>
    <row r="56" spans="1:15" x14ac:dyDescent="0.25">
      <c r="A56" s="534">
        <v>1</v>
      </c>
      <c r="B56" s="528"/>
      <c r="C56" s="538" t="s">
        <v>437</v>
      </c>
      <c r="D56" s="528"/>
      <c r="E56" s="1010">
        <v>0.56000000000000005</v>
      </c>
      <c r="F56" s="1011"/>
      <c r="G56" s="541"/>
      <c r="H56" s="542"/>
      <c r="I56" s="1012">
        <f>$I$65*E56</f>
        <v>41442091.054167226</v>
      </c>
      <c r="J56" s="528"/>
      <c r="K56" s="1010">
        <v>4.2882135086352649E-2</v>
      </c>
      <c r="L56" s="1011"/>
      <c r="M56" s="541"/>
      <c r="N56" s="542"/>
      <c r="O56" s="1012">
        <f>K56*I56</f>
        <v>1777125.3468457256</v>
      </c>
    </row>
    <row r="57" spans="1:15" x14ac:dyDescent="0.25">
      <c r="A57" s="534">
        <v>2</v>
      </c>
      <c r="B57" s="528"/>
      <c r="C57" s="538" t="s">
        <v>438</v>
      </c>
      <c r="D57" s="528"/>
      <c r="E57" s="1013">
        <v>0.04</v>
      </c>
      <c r="F57" s="1011"/>
      <c r="G57" s="546" t="s">
        <v>95</v>
      </c>
      <c r="H57" s="546"/>
      <c r="I57" s="1014">
        <f>$I$65*E57</f>
        <v>2960149.3610119442</v>
      </c>
      <c r="J57" s="528"/>
      <c r="K57" s="1013">
        <v>1.7600000000000001E-2</v>
      </c>
      <c r="L57" s="1011"/>
      <c r="M57" s="541"/>
      <c r="N57" s="542"/>
      <c r="O57" s="1014">
        <f>K57*I57</f>
        <v>52098.628753810219</v>
      </c>
    </row>
    <row r="58" spans="1:15" ht="15.75" thickBot="1" x14ac:dyDescent="0.3">
      <c r="A58" s="534">
        <v>3</v>
      </c>
      <c r="B58" s="528"/>
      <c r="C58" s="534" t="s">
        <v>439</v>
      </c>
      <c r="D58" s="528"/>
      <c r="E58" s="1015">
        <f>SUM(E56:E57)</f>
        <v>0.60000000000000009</v>
      </c>
      <c r="F58" s="1016"/>
      <c r="G58" s="1015"/>
      <c r="H58" s="1016"/>
      <c r="I58" s="1017">
        <f>SUM(I56:I57)</f>
        <v>44402240.415179171</v>
      </c>
      <c r="J58" s="528"/>
      <c r="K58" s="1018">
        <f>IF(E58=0,0,SUMPRODUCT(E56:E57,K56:K57)/E58)</f>
        <v>4.1196659413929138E-2</v>
      </c>
      <c r="L58" s="1011"/>
      <c r="M58" s="552"/>
      <c r="N58" s="553"/>
      <c r="O58" s="1017">
        <f>SUM(O56:O57)</f>
        <v>1829223.9755995357</v>
      </c>
    </row>
    <row r="59" spans="1:15" ht="15.75" thickTop="1" x14ac:dyDescent="0.25">
      <c r="A59" s="534"/>
      <c r="B59" s="528"/>
      <c r="C59" s="528"/>
      <c r="D59" s="528"/>
      <c r="E59" s="1019"/>
      <c r="F59" s="1020"/>
      <c r="G59" s="1019"/>
      <c r="H59" s="1020"/>
      <c r="I59" s="556"/>
      <c r="J59" s="528"/>
      <c r="K59" s="1021"/>
      <c r="L59" s="1011"/>
      <c r="M59" s="553"/>
      <c r="N59" s="553"/>
      <c r="O59" s="556"/>
    </row>
    <row r="60" spans="1:15" x14ac:dyDescent="0.25">
      <c r="A60" s="534"/>
      <c r="B60" s="528"/>
      <c r="C60" s="537" t="s">
        <v>440</v>
      </c>
      <c r="D60" s="528"/>
      <c r="E60" s="1019"/>
      <c r="F60" s="1020"/>
      <c r="G60" s="1019"/>
      <c r="H60" s="1020"/>
      <c r="I60" s="556"/>
      <c r="J60" s="528"/>
      <c r="K60" s="1021"/>
      <c r="L60" s="1011"/>
      <c r="M60" s="553"/>
      <c r="N60" s="553"/>
      <c r="O60" s="556"/>
    </row>
    <row r="61" spans="1:15" x14ac:dyDescent="0.25">
      <c r="A61" s="558">
        <v>4</v>
      </c>
      <c r="B61" s="559"/>
      <c r="C61" s="560" t="s">
        <v>441</v>
      </c>
      <c r="D61" s="559"/>
      <c r="E61" s="1022">
        <v>0.4</v>
      </c>
      <c r="F61" s="1023"/>
      <c r="G61" s="541"/>
      <c r="H61" s="542"/>
      <c r="I61" s="1024">
        <f>$I$65*E61</f>
        <v>29601493.610119447</v>
      </c>
      <c r="J61" s="559"/>
      <c r="K61" s="1022">
        <v>8.7800000000000003E-2</v>
      </c>
      <c r="L61" s="1023"/>
      <c r="M61" s="541"/>
      <c r="N61" s="542"/>
      <c r="O61" s="1024">
        <f>K61*I61</f>
        <v>2599011.1389684877</v>
      </c>
    </row>
    <row r="62" spans="1:15" x14ac:dyDescent="0.25">
      <c r="A62" s="558">
        <v>5</v>
      </c>
      <c r="B62" s="559"/>
      <c r="C62" s="560" t="s">
        <v>442</v>
      </c>
      <c r="D62" s="559"/>
      <c r="E62" s="1025"/>
      <c r="F62" s="1023"/>
      <c r="G62" s="541"/>
      <c r="H62" s="542"/>
      <c r="I62" s="1026">
        <f>$I$31*E62</f>
        <v>0</v>
      </c>
      <c r="J62" s="559"/>
      <c r="K62" s="1025"/>
      <c r="L62" s="1023"/>
      <c r="M62" s="541"/>
      <c r="N62" s="542"/>
      <c r="O62" s="1026">
        <f>K62*I62</f>
        <v>0</v>
      </c>
    </row>
    <row r="63" spans="1:15" ht="15.75" thickBot="1" x14ac:dyDescent="0.3">
      <c r="A63" s="534">
        <v>6</v>
      </c>
      <c r="B63" s="528"/>
      <c r="C63" s="534" t="s">
        <v>443</v>
      </c>
      <c r="D63" s="528"/>
      <c r="E63" s="1015">
        <f>SUM(E61:E62)</f>
        <v>0.4</v>
      </c>
      <c r="F63" s="1015"/>
      <c r="G63" s="1015"/>
      <c r="H63" s="1016"/>
      <c r="I63" s="1017">
        <f>SUM(I61:I62)</f>
        <v>29601493.610119447</v>
      </c>
      <c r="J63" s="528"/>
      <c r="K63" s="1018">
        <f>IF(E63=0,0,SUMPRODUCT(E61:E62,K61:K62)/E63)</f>
        <v>8.7800000000000003E-2</v>
      </c>
      <c r="L63" s="1011"/>
      <c r="M63" s="553"/>
      <c r="N63" s="553"/>
      <c r="O63" s="1017">
        <f>SUM(O61:O62)</f>
        <v>2599011.1389684877</v>
      </c>
    </row>
    <row r="64" spans="1:15" ht="15.75" thickTop="1" x14ac:dyDescent="0.25">
      <c r="A64" s="534"/>
      <c r="B64" s="528"/>
      <c r="C64" s="528"/>
      <c r="D64" s="528"/>
      <c r="E64" s="528"/>
      <c r="F64" s="528"/>
      <c r="G64" s="528"/>
      <c r="H64" s="528"/>
      <c r="I64" s="556"/>
      <c r="J64" s="528"/>
      <c r="K64" s="1021"/>
      <c r="L64" s="1021"/>
      <c r="M64" s="553"/>
      <c r="N64" s="553"/>
      <c r="O64" s="556"/>
    </row>
    <row r="65" spans="1:15" ht="15.75" thickBot="1" x14ac:dyDescent="0.3">
      <c r="A65" s="534">
        <v>7</v>
      </c>
      <c r="B65" s="528"/>
      <c r="C65" s="537" t="s">
        <v>80</v>
      </c>
      <c r="D65" s="528"/>
      <c r="E65" s="566">
        <v>1</v>
      </c>
      <c r="F65" s="566"/>
      <c r="G65" s="567"/>
      <c r="H65" s="567"/>
      <c r="I65" s="1027">
        <v>74003734.02529861</v>
      </c>
      <c r="J65" s="528"/>
      <c r="K65" s="1028">
        <f>(K58*E58)+(K63*E63)</f>
        <v>5.9837995648357491E-2</v>
      </c>
      <c r="L65" s="1021"/>
      <c r="M65" s="528"/>
      <c r="N65" s="528"/>
      <c r="O65" s="1029">
        <f>O58+O63</f>
        <v>4428235.114568023</v>
      </c>
    </row>
    <row r="66" spans="1:15" ht="15.75" thickTop="1" x14ac:dyDescent="0.25">
      <c r="A66" s="534"/>
      <c r="B66" s="528"/>
      <c r="C66" s="528"/>
      <c r="D66" s="528"/>
      <c r="E66" s="528"/>
      <c r="F66" s="528"/>
      <c r="G66" s="528"/>
      <c r="H66" s="528"/>
      <c r="I66" s="528"/>
      <c r="J66" s="528"/>
      <c r="K66" s="528"/>
      <c r="L66" s="528"/>
      <c r="M66" s="528"/>
      <c r="N66" s="528"/>
      <c r="O66" s="528"/>
    </row>
    <row r="67" spans="1:15" x14ac:dyDescent="0.25">
      <c r="A67" s="521"/>
      <c r="B67" s="520"/>
      <c r="C67" s="520"/>
      <c r="D67" s="520"/>
      <c r="E67" s="520"/>
      <c r="F67" s="520"/>
      <c r="G67" s="520"/>
      <c r="H67" s="520"/>
      <c r="I67" s="520"/>
      <c r="J67" s="520"/>
      <c r="K67" s="520"/>
      <c r="L67" s="520"/>
      <c r="M67" s="520"/>
      <c r="N67" s="520"/>
      <c r="O67" s="520"/>
    </row>
    <row r="68" spans="1:15" x14ac:dyDescent="0.25">
      <c r="A68" s="1194" t="s">
        <v>444</v>
      </c>
      <c r="B68" s="1194"/>
      <c r="C68" s="1194"/>
      <c r="D68" s="1194"/>
      <c r="E68" s="1194"/>
      <c r="F68" s="1194"/>
      <c r="G68" s="1194"/>
      <c r="H68" s="1194"/>
      <c r="I68" s="1194"/>
      <c r="J68" s="1194"/>
      <c r="K68" s="1194"/>
      <c r="L68" s="1194"/>
      <c r="M68" s="1194"/>
      <c r="N68" s="1194"/>
      <c r="O68" s="1194"/>
    </row>
    <row r="69" spans="1:15" x14ac:dyDescent="0.25">
      <c r="A69" s="524" t="s">
        <v>95</v>
      </c>
      <c r="B69" s="514"/>
      <c r="C69" s="1193" t="s">
        <v>445</v>
      </c>
      <c r="D69" s="1193"/>
      <c r="E69" s="1193"/>
      <c r="F69" s="1193"/>
      <c r="G69" s="1193"/>
      <c r="H69" s="1193"/>
      <c r="I69" s="1193"/>
      <c r="J69" s="1193"/>
      <c r="K69" s="1193"/>
      <c r="L69" s="1193"/>
      <c r="M69" s="1193"/>
      <c r="N69" s="1193"/>
      <c r="O69" s="1193"/>
    </row>
    <row r="70" spans="1:15" x14ac:dyDescent="0.25">
      <c r="A70" s="515"/>
      <c r="B70" s="514"/>
      <c r="C70" s="1192"/>
      <c r="D70" s="1192"/>
      <c r="E70" s="1192"/>
      <c r="F70" s="1192"/>
      <c r="G70" s="1192"/>
      <c r="H70" s="1192"/>
      <c r="I70" s="1192"/>
      <c r="J70" s="1192"/>
      <c r="K70" s="1192"/>
      <c r="L70" s="1192"/>
      <c r="M70" s="1192"/>
      <c r="N70" s="1192"/>
      <c r="O70" s="1192"/>
    </row>
    <row r="71" spans="1:15" x14ac:dyDescent="0.25">
      <c r="A71" s="515"/>
      <c r="B71" s="514"/>
      <c r="C71" s="1192"/>
      <c r="D71" s="1192"/>
      <c r="E71" s="1192"/>
      <c r="F71" s="1192"/>
      <c r="G71" s="1192"/>
      <c r="H71" s="1192"/>
      <c r="I71" s="1192"/>
      <c r="J71" s="1192"/>
      <c r="K71" s="1192"/>
      <c r="L71" s="1192"/>
      <c r="M71" s="1192"/>
      <c r="N71" s="1192"/>
      <c r="O71" s="1192"/>
    </row>
    <row r="72" spans="1:15" x14ac:dyDescent="0.25">
      <c r="A72" s="515"/>
      <c r="B72" s="514"/>
      <c r="C72" s="1192"/>
      <c r="D72" s="1192"/>
      <c r="E72" s="1192"/>
      <c r="F72" s="1192"/>
      <c r="G72" s="1192"/>
      <c r="H72" s="1192"/>
      <c r="I72" s="1192"/>
      <c r="J72" s="1192"/>
      <c r="K72" s="1192"/>
      <c r="L72" s="1192"/>
      <c r="M72" s="1192"/>
      <c r="N72" s="1192"/>
      <c r="O72" s="1192"/>
    </row>
    <row r="73" spans="1:15" x14ac:dyDescent="0.25">
      <c r="A73" s="515"/>
      <c r="B73" s="514"/>
      <c r="C73" s="1192"/>
      <c r="D73" s="1192"/>
      <c r="E73" s="1192"/>
      <c r="F73" s="1192"/>
      <c r="G73" s="1192"/>
      <c r="H73" s="1192"/>
      <c r="I73" s="1192"/>
      <c r="J73" s="1192"/>
      <c r="K73" s="1192"/>
      <c r="L73" s="1192"/>
      <c r="M73" s="1192"/>
      <c r="N73" s="1192"/>
      <c r="O73" s="1192"/>
    </row>
    <row r="74" spans="1:15" x14ac:dyDescent="0.25">
      <c r="A74" s="515"/>
      <c r="B74" s="514"/>
      <c r="C74" s="1192"/>
      <c r="D74" s="1192"/>
      <c r="E74" s="1192"/>
      <c r="F74" s="1192"/>
      <c r="G74" s="1192"/>
      <c r="H74" s="1192"/>
      <c r="I74" s="1192"/>
      <c r="J74" s="1192"/>
      <c r="K74" s="1192"/>
      <c r="L74" s="1192"/>
      <c r="M74" s="1192"/>
      <c r="N74" s="1192"/>
      <c r="O74" s="1192"/>
    </row>
    <row r="75" spans="1:15" x14ac:dyDescent="0.25">
      <c r="A75" s="515"/>
      <c r="B75" s="514"/>
      <c r="C75" s="1192"/>
      <c r="D75" s="1192"/>
      <c r="E75" s="1192"/>
      <c r="F75" s="1192"/>
      <c r="G75" s="1192"/>
      <c r="H75" s="1192"/>
      <c r="I75" s="1192"/>
      <c r="J75" s="1192"/>
      <c r="K75" s="1192"/>
      <c r="L75" s="1192"/>
      <c r="M75" s="1192"/>
      <c r="N75" s="1192"/>
      <c r="O75" s="1192"/>
    </row>
  </sheetData>
  <customSheetViews>
    <customSheetView guid="{FEE3C04B-CD27-4551-A1CF-8272225D231B}" topLeftCell="A49">
      <selection activeCell="W66" sqref="W66"/>
      <pageMargins left="0.7" right="0.7" top="0.75" bottom="0.75" header="0.3" footer="0.3"/>
    </customSheetView>
    <customSheetView guid="{957A2981-C0FE-4A89-90AC-F40944F7258F}" topLeftCell="A43">
      <selection activeCell="AE73" sqref="AE73"/>
      <pageMargins left="0.7" right="0.7" top="0.75" bottom="0.75" header="0.3" footer="0.3"/>
    </customSheetView>
    <customSheetView guid="{AE01795C-0F1A-4D22-B411-4CB1D681CFC8}" topLeftCell="A49">
      <selection activeCell="W66" sqref="W66"/>
      <pageMargins left="0.7" right="0.7" top="0.75" bottom="0.75" header="0.3" footer="0.3"/>
    </customSheetView>
  </customSheetViews>
  <mergeCells count="28">
    <mergeCell ref="C75:O75"/>
    <mergeCell ref="A68:O68"/>
    <mergeCell ref="C69:O69"/>
    <mergeCell ref="C70:O70"/>
    <mergeCell ref="C71:O71"/>
    <mergeCell ref="C72:O72"/>
    <mergeCell ref="H49:J49"/>
    <mergeCell ref="A51:A52"/>
    <mergeCell ref="E52:I52"/>
    <mergeCell ref="C73:O73"/>
    <mergeCell ref="C74:O74"/>
    <mergeCell ref="A47:O47"/>
    <mergeCell ref="A17:A18"/>
    <mergeCell ref="E18:I18"/>
    <mergeCell ref="H15:J15"/>
    <mergeCell ref="C41:O41"/>
    <mergeCell ref="C35:O35"/>
    <mergeCell ref="C36:O36"/>
    <mergeCell ref="C37:O37"/>
    <mergeCell ref="C38:O38"/>
    <mergeCell ref="C39:O39"/>
    <mergeCell ref="C40:O40"/>
    <mergeCell ref="A34:O34"/>
    <mergeCell ref="C10:O10"/>
    <mergeCell ref="C11:O11"/>
    <mergeCell ref="C44:O44"/>
    <mergeCell ref="C45:O45"/>
    <mergeCell ref="A13:O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topLeftCell="A70" workbookViewId="0">
      <selection activeCell="C59" sqref="C59"/>
    </sheetView>
  </sheetViews>
  <sheetFormatPr defaultRowHeight="15" x14ac:dyDescent="0.25"/>
  <cols>
    <col min="1" max="1" width="42.85546875" bestFit="1" customWidth="1"/>
    <col min="2" max="2" width="12.28515625" bestFit="1" customWidth="1"/>
    <col min="3" max="3" width="17.28515625" customWidth="1"/>
    <col min="4" max="4" width="19.28515625" customWidth="1"/>
    <col min="5" max="5" width="19.42578125" bestFit="1" customWidth="1"/>
    <col min="6" max="6" width="15.5703125" customWidth="1"/>
  </cols>
  <sheetData>
    <row r="1" spans="1:6" x14ac:dyDescent="0.25">
      <c r="A1" s="573"/>
      <c r="B1" s="573"/>
      <c r="C1" s="573"/>
      <c r="D1" s="573"/>
      <c r="E1" s="583" t="s">
        <v>0</v>
      </c>
      <c r="F1" s="629">
        <v>0</v>
      </c>
    </row>
    <row r="2" spans="1:6" x14ac:dyDescent="0.25">
      <c r="A2" s="573"/>
      <c r="B2" s="573"/>
      <c r="C2" s="573"/>
      <c r="D2" s="573"/>
      <c r="E2" s="583" t="s">
        <v>1</v>
      </c>
      <c r="F2" s="577"/>
    </row>
    <row r="3" spans="1:6" x14ac:dyDescent="0.25">
      <c r="A3" s="573"/>
      <c r="B3" s="573"/>
      <c r="C3" s="573"/>
      <c r="D3" s="573"/>
      <c r="E3" s="583" t="s">
        <v>2</v>
      </c>
      <c r="F3" s="577"/>
    </row>
    <row r="4" spans="1:6" x14ac:dyDescent="0.25">
      <c r="A4" s="573"/>
      <c r="B4" s="573"/>
      <c r="C4" s="573"/>
      <c r="D4" s="573"/>
      <c r="E4" s="583" t="s">
        <v>3</v>
      </c>
      <c r="F4" s="577"/>
    </row>
    <row r="5" spans="1:6" x14ac:dyDescent="0.25">
      <c r="A5" s="573"/>
      <c r="B5" s="573"/>
      <c r="C5" s="573"/>
      <c r="D5" s="573"/>
      <c r="E5" s="583" t="s">
        <v>4</v>
      </c>
      <c r="F5" s="578"/>
    </row>
    <row r="6" spans="1:6" x14ac:dyDescent="0.25">
      <c r="A6" s="573"/>
      <c r="B6" s="573"/>
      <c r="C6" s="573"/>
      <c r="D6" s="573"/>
      <c r="E6" s="583"/>
      <c r="F6" s="576"/>
    </row>
    <row r="7" spans="1:6" x14ac:dyDescent="0.25">
      <c r="A7" s="573"/>
      <c r="B7" s="573"/>
      <c r="C7" s="573"/>
      <c r="D7" s="573"/>
      <c r="E7" s="583" t="s">
        <v>5</v>
      </c>
      <c r="F7" s="578"/>
    </row>
    <row r="9" spans="1:6" ht="18" x14ac:dyDescent="0.25">
      <c r="A9" s="1244" t="s">
        <v>446</v>
      </c>
      <c r="B9" s="1244"/>
      <c r="C9" s="1244"/>
      <c r="D9" s="1244"/>
      <c r="E9" s="1244"/>
      <c r="F9" s="1244"/>
    </row>
    <row r="10" spans="1:6" ht="18" x14ac:dyDescent="0.25">
      <c r="A10" s="1244" t="s">
        <v>447</v>
      </c>
      <c r="B10" s="1244"/>
      <c r="C10" s="1244"/>
      <c r="D10" s="1244"/>
      <c r="E10" s="1244"/>
      <c r="F10" s="1244"/>
    </row>
    <row r="12" spans="1:6" x14ac:dyDescent="0.25">
      <c r="A12" s="574" t="s">
        <v>448</v>
      </c>
      <c r="B12" s="573"/>
      <c r="C12" s="573"/>
      <c r="D12" s="573"/>
      <c r="E12" s="573"/>
      <c r="F12" s="573"/>
    </row>
    <row r="14" spans="1:6" x14ac:dyDescent="0.25">
      <c r="A14" s="575" t="s">
        <v>449</v>
      </c>
      <c r="B14" s="575"/>
      <c r="C14" s="573"/>
      <c r="D14" s="573"/>
      <c r="E14" s="573"/>
      <c r="F14" s="573"/>
    </row>
    <row r="15" spans="1:6" ht="15.75" thickBot="1" x14ac:dyDescent="0.3">
      <c r="A15" s="573"/>
      <c r="B15" s="573"/>
      <c r="C15" s="573"/>
      <c r="D15" s="573"/>
      <c r="E15" s="573"/>
      <c r="F15" s="573"/>
    </row>
    <row r="16" spans="1:6" ht="63.75" x14ac:dyDescent="0.25">
      <c r="A16" s="593" t="s">
        <v>450</v>
      </c>
      <c r="B16" s="579" t="s">
        <v>451</v>
      </c>
      <c r="C16" s="579" t="s">
        <v>452</v>
      </c>
      <c r="D16" s="579" t="s">
        <v>453</v>
      </c>
      <c r="E16" s="594" t="s">
        <v>452</v>
      </c>
      <c r="F16" s="573"/>
    </row>
    <row r="17" spans="1:5" x14ac:dyDescent="0.25">
      <c r="A17" s="595" t="s">
        <v>454</v>
      </c>
      <c r="B17" s="581">
        <v>10821187</v>
      </c>
      <c r="C17" s="596">
        <v>0.6057334498691882</v>
      </c>
      <c r="D17" s="581">
        <v>11684875.500072218</v>
      </c>
      <c r="E17" s="597">
        <f>D17/$D$28</f>
        <v>0.63456631540160735</v>
      </c>
    </row>
    <row r="18" spans="1:5" x14ac:dyDescent="0.25">
      <c r="A18" s="595" t="s">
        <v>455</v>
      </c>
      <c r="B18" s="581">
        <v>2088907</v>
      </c>
      <c r="C18" s="596">
        <v>0.1169299489571612</v>
      </c>
      <c r="D18" s="581">
        <v>2099765.3145193155</v>
      </c>
      <c r="E18" s="597">
        <f t="shared" ref="E18:E27" si="0">D18/$D$28</f>
        <v>0.1140311968950276</v>
      </c>
    </row>
    <row r="19" spans="1:5" ht="25.5" x14ac:dyDescent="0.25">
      <c r="A19" s="598" t="s">
        <v>456</v>
      </c>
      <c r="B19" s="581">
        <v>4357784</v>
      </c>
      <c r="C19" s="596">
        <v>0.24393400983688301</v>
      </c>
      <c r="D19" s="581">
        <v>4014969.7979048034</v>
      </c>
      <c r="E19" s="597">
        <f t="shared" si="0"/>
        <v>0.21803951536235372</v>
      </c>
    </row>
    <row r="20" spans="1:5" x14ac:dyDescent="0.25">
      <c r="A20" s="598" t="s">
        <v>457</v>
      </c>
      <c r="B20" s="581"/>
      <c r="C20" s="596">
        <v>0</v>
      </c>
      <c r="D20" s="581"/>
      <c r="E20" s="597">
        <f t="shared" si="0"/>
        <v>0</v>
      </c>
    </row>
    <row r="21" spans="1:5" x14ac:dyDescent="0.25">
      <c r="A21" s="595" t="s">
        <v>458</v>
      </c>
      <c r="B21" s="581"/>
      <c r="C21" s="596">
        <v>0</v>
      </c>
      <c r="D21" s="581"/>
      <c r="E21" s="597">
        <f t="shared" si="0"/>
        <v>0</v>
      </c>
    </row>
    <row r="22" spans="1:5" x14ac:dyDescent="0.25">
      <c r="A22" s="595" t="s">
        <v>459</v>
      </c>
      <c r="B22" s="581">
        <v>137888</v>
      </c>
      <c r="C22" s="596">
        <v>7.7185038883038088E-3</v>
      </c>
      <c r="D22" s="581">
        <v>273784.18392363423</v>
      </c>
      <c r="E22" s="597">
        <f t="shared" si="0"/>
        <v>1.4868298836952331E-2</v>
      </c>
    </row>
    <row r="23" spans="1:5" x14ac:dyDescent="0.25">
      <c r="A23" s="595" t="s">
        <v>460</v>
      </c>
      <c r="B23" s="581">
        <v>84146</v>
      </c>
      <c r="C23" s="596">
        <v>4.7102084893914792E-3</v>
      </c>
      <c r="D23" s="581">
        <v>56916.687379774674</v>
      </c>
      <c r="E23" s="597">
        <f t="shared" si="0"/>
        <v>3.0909539939236457E-3</v>
      </c>
    </row>
    <row r="24" spans="1:5" x14ac:dyDescent="0.25">
      <c r="A24" s="595" t="s">
        <v>461</v>
      </c>
      <c r="B24" s="581">
        <v>79639</v>
      </c>
      <c r="C24" s="596">
        <v>4.4579218725387783E-3</v>
      </c>
      <c r="D24" s="581">
        <v>75996.620297504051</v>
      </c>
      <c r="E24" s="597">
        <f t="shared" si="0"/>
        <v>4.1271210228011491E-3</v>
      </c>
    </row>
    <row r="25" spans="1:5" x14ac:dyDescent="0.25">
      <c r="A25" s="598" t="s">
        <v>462</v>
      </c>
      <c r="B25" s="581"/>
      <c r="C25" s="596">
        <v>0</v>
      </c>
      <c r="D25" s="581"/>
      <c r="E25" s="597">
        <f t="shared" si="0"/>
        <v>0</v>
      </c>
    </row>
    <row r="26" spans="1:5" x14ac:dyDescent="0.25">
      <c r="A26" s="598"/>
      <c r="B26" s="581"/>
      <c r="C26" s="596">
        <v>0</v>
      </c>
      <c r="D26" s="581"/>
      <c r="E26" s="597">
        <f t="shared" si="0"/>
        <v>0</v>
      </c>
    </row>
    <row r="27" spans="1:5" x14ac:dyDescent="0.25">
      <c r="A27" s="599" t="s">
        <v>463</v>
      </c>
      <c r="B27" s="581">
        <v>295051</v>
      </c>
      <c r="C27" s="596">
        <v>1.6515957086533469E-2</v>
      </c>
      <c r="D27" s="581">
        <v>207646.77574385781</v>
      </c>
      <c r="E27" s="597">
        <f t="shared" si="0"/>
        <v>1.1276598487334274E-2</v>
      </c>
    </row>
    <row r="28" spans="1:5" ht="15.75" thickBot="1" x14ac:dyDescent="0.3">
      <c r="A28" s="600" t="s">
        <v>80</v>
      </c>
      <c r="B28" s="601">
        <f>SUM(B17:B27)</f>
        <v>17864602</v>
      </c>
      <c r="C28" s="602">
        <v>1.0000000000000002</v>
      </c>
      <c r="D28" s="601">
        <f>SUM(D17:D27)</f>
        <v>18413954.879841108</v>
      </c>
      <c r="E28" s="603">
        <f>SUM(E17:E27)</f>
        <v>1</v>
      </c>
    </row>
    <row r="30" spans="1:5" x14ac:dyDescent="0.25">
      <c r="A30" s="575" t="s">
        <v>82</v>
      </c>
      <c r="B30" s="573"/>
      <c r="C30" s="573"/>
      <c r="D30" s="573"/>
      <c r="E30" s="573"/>
    </row>
    <row r="32" spans="1:5" x14ac:dyDescent="0.25">
      <c r="A32" s="1242" t="s">
        <v>464</v>
      </c>
      <c r="B32" s="1242"/>
      <c r="C32" s="1242"/>
      <c r="D32" s="1242"/>
      <c r="E32" s="1242"/>
    </row>
    <row r="33" spans="1:6" x14ac:dyDescent="0.25">
      <c r="A33" s="1242"/>
      <c r="B33" s="1242"/>
      <c r="C33" s="1242"/>
      <c r="D33" s="1242"/>
      <c r="E33" s="1242"/>
      <c r="F33" s="573"/>
    </row>
    <row r="34" spans="1:6" x14ac:dyDescent="0.25">
      <c r="A34" s="573"/>
      <c r="B34" s="604"/>
      <c r="C34" s="604"/>
      <c r="D34" s="604"/>
      <c r="E34" s="604"/>
      <c r="F34" s="604"/>
    </row>
    <row r="35" spans="1:6" x14ac:dyDescent="0.25">
      <c r="A35" s="1243" t="s">
        <v>465</v>
      </c>
      <c r="B35" s="1243"/>
      <c r="C35" s="1243"/>
      <c r="D35" s="1243"/>
      <c r="E35" s="1243"/>
      <c r="F35" s="604"/>
    </row>
    <row r="36" spans="1:6" x14ac:dyDescent="0.25">
      <c r="A36" s="1243"/>
      <c r="B36" s="1243"/>
      <c r="C36" s="1243"/>
      <c r="D36" s="1243"/>
      <c r="E36" s="1243"/>
      <c r="F36" s="632"/>
    </row>
    <row r="37" spans="1:6" x14ac:dyDescent="0.25">
      <c r="A37" s="1243"/>
      <c r="B37" s="1243"/>
      <c r="C37" s="1243"/>
      <c r="D37" s="1243"/>
      <c r="E37" s="1243"/>
      <c r="F37" s="632"/>
    </row>
    <row r="38" spans="1:6" x14ac:dyDescent="0.25">
      <c r="A38" s="633" t="s">
        <v>466</v>
      </c>
      <c r="B38" s="633"/>
      <c r="C38" s="633"/>
      <c r="D38" s="633"/>
      <c r="E38" s="633"/>
      <c r="F38" s="633"/>
    </row>
    <row r="39" spans="1:6" x14ac:dyDescent="0.25">
      <c r="A39" s="1243" t="s">
        <v>467</v>
      </c>
      <c r="B39" s="1243"/>
      <c r="C39" s="1243"/>
      <c r="D39" s="1243"/>
      <c r="E39" s="1243"/>
      <c r="F39" s="605"/>
    </row>
    <row r="40" spans="1:6" x14ac:dyDescent="0.25">
      <c r="A40" s="1243"/>
      <c r="B40" s="1243"/>
      <c r="C40" s="1243"/>
      <c r="D40" s="1243"/>
      <c r="E40" s="1243"/>
      <c r="F40" s="573"/>
    </row>
    <row r="41" spans="1:6" x14ac:dyDescent="0.25">
      <c r="A41" s="573"/>
      <c r="B41" s="573"/>
      <c r="C41" s="573"/>
      <c r="D41" s="573"/>
      <c r="E41" s="573"/>
      <c r="F41" s="573"/>
    </row>
    <row r="43" spans="1:6" x14ac:dyDescent="0.25">
      <c r="A43" s="606" t="s">
        <v>468</v>
      </c>
      <c r="B43" s="1234"/>
      <c r="C43" s="1234"/>
      <c r="D43" s="1234"/>
      <c r="E43" s="1234"/>
      <c r="F43" s="1234"/>
    </row>
    <row r="44" spans="1:6" ht="15.75" thickBot="1" x14ac:dyDescent="0.3">
      <c r="A44" s="606"/>
      <c r="B44" s="607"/>
      <c r="C44" s="573"/>
      <c r="D44" s="574">
        <v>1.0238838053340931</v>
      </c>
      <c r="E44" s="573"/>
      <c r="F44" s="573"/>
    </row>
    <row r="45" spans="1:6" x14ac:dyDescent="0.25">
      <c r="A45" s="1235"/>
      <c r="B45" s="1236"/>
      <c r="C45" s="630" t="s">
        <v>469</v>
      </c>
      <c r="D45" s="630" t="s">
        <v>470</v>
      </c>
      <c r="E45" s="630" t="s">
        <v>471</v>
      </c>
      <c r="F45" s="587" t="s">
        <v>472</v>
      </c>
    </row>
    <row r="46" spans="1:6" x14ac:dyDescent="0.25">
      <c r="A46" s="1240" t="s">
        <v>473</v>
      </c>
      <c r="B46" s="1241"/>
      <c r="C46" s="1237" t="s">
        <v>474</v>
      </c>
      <c r="D46" s="1237" t="s">
        <v>475</v>
      </c>
      <c r="E46" s="1237" t="s">
        <v>476</v>
      </c>
      <c r="F46" s="1238" t="s">
        <v>477</v>
      </c>
    </row>
    <row r="47" spans="1:6" ht="25.5" customHeight="1" x14ac:dyDescent="0.25">
      <c r="A47" s="1203"/>
      <c r="B47" s="1204"/>
      <c r="C47" s="1223"/>
      <c r="D47" s="1223"/>
      <c r="E47" s="1223"/>
      <c r="F47" s="1239"/>
    </row>
    <row r="48" spans="1:6" x14ac:dyDescent="0.25">
      <c r="A48" s="1198" t="s">
        <v>454</v>
      </c>
      <c r="B48" s="1199"/>
      <c r="C48" s="581">
        <v>9718019.3692537639</v>
      </c>
      <c r="D48" s="964">
        <f>C48*$D$44</f>
        <v>9950122.6521019675</v>
      </c>
      <c r="E48" s="581">
        <v>10072165.721353298</v>
      </c>
      <c r="F48" s="584">
        <v>938730.83382495539</v>
      </c>
    </row>
    <row r="49" spans="1:6" x14ac:dyDescent="0.25">
      <c r="A49" s="1198" t="s">
        <v>455</v>
      </c>
      <c r="B49" s="1199"/>
      <c r="C49" s="581">
        <v>1614917.0876488171</v>
      </c>
      <c r="D49" s="964">
        <f t="shared" ref="D49:D58" si="1">C49*$D$44</f>
        <v>1653487.453000922</v>
      </c>
      <c r="E49" s="581">
        <v>1839732.6215187737</v>
      </c>
      <c r="F49" s="584">
        <v>138919.06956519323</v>
      </c>
    </row>
    <row r="50" spans="1:6" x14ac:dyDescent="0.25">
      <c r="A50" s="1198" t="s">
        <v>456</v>
      </c>
      <c r="B50" s="1199"/>
      <c r="C50" s="581">
        <v>4964179.5133926831</v>
      </c>
      <c r="D50" s="964">
        <f t="shared" si="1"/>
        <v>5082743.0105340471</v>
      </c>
      <c r="E50" s="581">
        <v>4621191.6840885989</v>
      </c>
      <c r="F50" s="584">
        <v>196772.07339716551</v>
      </c>
    </row>
    <row r="51" spans="1:6" x14ac:dyDescent="0.25">
      <c r="A51" s="1198" t="s">
        <v>457</v>
      </c>
      <c r="B51" s="1199"/>
      <c r="C51" s="581"/>
      <c r="D51" s="964">
        <f t="shared" si="1"/>
        <v>0</v>
      </c>
      <c r="E51" s="581"/>
      <c r="F51" s="584"/>
    </row>
    <row r="52" spans="1:6" x14ac:dyDescent="0.25">
      <c r="A52" s="1198" t="s">
        <v>458</v>
      </c>
      <c r="B52" s="1199"/>
      <c r="C52" s="581"/>
      <c r="D52" s="964">
        <f t="shared" si="1"/>
        <v>0</v>
      </c>
      <c r="E52" s="581"/>
      <c r="F52" s="584"/>
    </row>
    <row r="53" spans="1:6" x14ac:dyDescent="0.25">
      <c r="A53" s="1198" t="s">
        <v>459</v>
      </c>
      <c r="B53" s="1199"/>
      <c r="C53" s="581">
        <v>114256.73675220452</v>
      </c>
      <c r="D53" s="964">
        <f t="shared" si="1"/>
        <v>116985.6224109029</v>
      </c>
      <c r="E53" s="581">
        <v>235549.94734009379</v>
      </c>
      <c r="F53" s="584">
        <v>22442.474368498773</v>
      </c>
    </row>
    <row r="54" spans="1:6" x14ac:dyDescent="0.25">
      <c r="A54" s="1198" t="s">
        <v>460</v>
      </c>
      <c r="B54" s="1199"/>
      <c r="C54" s="581">
        <v>51456.685624123995</v>
      </c>
      <c r="D54" s="964">
        <f t="shared" si="1"/>
        <v>52685.667086708199</v>
      </c>
      <c r="E54" s="581">
        <v>52685.667086708199</v>
      </c>
      <c r="F54" s="584">
        <v>3575.9724471631303</v>
      </c>
    </row>
    <row r="55" spans="1:6" x14ac:dyDescent="0.25">
      <c r="A55" s="1198" t="s">
        <v>461</v>
      </c>
      <c r="B55" s="1199"/>
      <c r="C55" s="581">
        <v>76183.739425112202</v>
      </c>
      <c r="D55" s="964">
        <f t="shared" si="1"/>
        <v>78003.297027164852</v>
      </c>
      <c r="E55" s="581">
        <v>78003.297027164852</v>
      </c>
      <c r="F55" s="584">
        <v>6539.0351427265559</v>
      </c>
    </row>
    <row r="56" spans="1:6" x14ac:dyDescent="0.25">
      <c r="A56" s="1198" t="s">
        <v>462</v>
      </c>
      <c r="B56" s="1199"/>
      <c r="C56" s="581"/>
      <c r="D56" s="964">
        <f t="shared" si="1"/>
        <v>0</v>
      </c>
      <c r="E56" s="581"/>
      <c r="F56" s="584"/>
    </row>
    <row r="57" spans="1:6" x14ac:dyDescent="0.25">
      <c r="A57" s="1227"/>
      <c r="B57" s="1228"/>
      <c r="C57" s="581"/>
      <c r="D57" s="964">
        <f t="shared" si="1"/>
        <v>0</v>
      </c>
      <c r="E57" s="581"/>
      <c r="F57" s="584"/>
    </row>
    <row r="58" spans="1:6" ht="15.75" thickBot="1" x14ac:dyDescent="0.3">
      <c r="A58" s="1229" t="s">
        <v>463</v>
      </c>
      <c r="B58" s="1230"/>
      <c r="C58" s="590">
        <v>161079.92724079516</v>
      </c>
      <c r="D58" s="964">
        <f t="shared" si="1"/>
        <v>164927.12886624419</v>
      </c>
      <c r="E58" s="590">
        <v>199626.18567640785</v>
      </c>
      <c r="F58" s="634">
        <v>8020.5900674499489</v>
      </c>
    </row>
    <row r="59" spans="1:6" ht="15.75" thickTop="1" x14ac:dyDescent="0.25">
      <c r="A59" s="1231" t="s">
        <v>80</v>
      </c>
      <c r="B59" s="1232"/>
      <c r="C59" s="608">
        <v>16700093.059337499</v>
      </c>
      <c r="D59" s="608">
        <f>SUM(D48:D58)</f>
        <v>17098954.831027959</v>
      </c>
      <c r="E59" s="608">
        <f>SUM(E48:E58)</f>
        <v>17098955.124091044</v>
      </c>
      <c r="F59" s="609">
        <f>SUM(F48:F58)</f>
        <v>1315000.0488131526</v>
      </c>
    </row>
    <row r="61" spans="1:6" x14ac:dyDescent="0.25">
      <c r="A61" s="575" t="s">
        <v>82</v>
      </c>
      <c r="B61" s="580"/>
      <c r="C61" s="580"/>
      <c r="D61" s="580"/>
      <c r="E61" s="580"/>
      <c r="F61" s="580"/>
    </row>
    <row r="62" spans="1:6" x14ac:dyDescent="0.25">
      <c r="A62" s="580"/>
      <c r="B62" s="580"/>
      <c r="C62" s="580"/>
      <c r="D62" s="580"/>
      <c r="E62" s="580"/>
      <c r="F62" s="580"/>
    </row>
    <row r="63" spans="1:6" x14ac:dyDescent="0.25">
      <c r="A63" s="1200" t="s">
        <v>478</v>
      </c>
      <c r="B63" s="1200"/>
      <c r="C63" s="1200"/>
      <c r="D63" s="1200"/>
      <c r="E63" s="1200"/>
      <c r="F63" s="1200"/>
    </row>
    <row r="64" spans="1:6" x14ac:dyDescent="0.25">
      <c r="A64" s="1200"/>
      <c r="B64" s="1200"/>
      <c r="C64" s="1200"/>
      <c r="D64" s="1200"/>
      <c r="E64" s="1200"/>
      <c r="F64" s="1200"/>
    </row>
    <row r="65" spans="1:12" x14ac:dyDescent="0.25">
      <c r="A65" s="604"/>
      <c r="B65" s="604"/>
      <c r="C65" s="604"/>
      <c r="D65" s="604"/>
      <c r="E65" s="604"/>
      <c r="F65" s="604"/>
      <c r="G65" s="573"/>
      <c r="H65" s="582"/>
      <c r="I65" s="582"/>
      <c r="J65" s="582"/>
      <c r="K65" s="582"/>
      <c r="L65" s="582"/>
    </row>
    <row r="66" spans="1:12" x14ac:dyDescent="0.25">
      <c r="A66" s="1233" t="s">
        <v>479</v>
      </c>
      <c r="B66" s="1233"/>
      <c r="C66" s="1233"/>
      <c r="D66" s="1233"/>
      <c r="E66" s="1233"/>
      <c r="F66" s="1233"/>
      <c r="G66" s="573"/>
      <c r="H66" s="582"/>
      <c r="I66" s="582"/>
      <c r="J66" s="582"/>
      <c r="K66" s="582"/>
      <c r="L66" s="582"/>
    </row>
    <row r="67" spans="1:12" x14ac:dyDescent="0.25">
      <c r="A67" s="610"/>
      <c r="B67" s="580"/>
      <c r="C67" s="580"/>
      <c r="D67" s="580"/>
      <c r="E67" s="580"/>
      <c r="F67" s="580"/>
      <c r="G67" s="573"/>
      <c r="H67" s="582"/>
      <c r="I67" s="582"/>
      <c r="J67" s="582"/>
      <c r="K67" s="582"/>
      <c r="L67" s="582"/>
    </row>
    <row r="68" spans="1:12" x14ac:dyDescent="0.25">
      <c r="A68" s="1214" t="s">
        <v>480</v>
      </c>
      <c r="B68" s="1214"/>
      <c r="C68" s="1214"/>
      <c r="D68" s="1214"/>
      <c r="E68" s="1214"/>
      <c r="F68" s="1214"/>
      <c r="G68" s="573"/>
      <c r="H68" s="611"/>
      <c r="I68" s="582"/>
      <c r="J68" s="582"/>
      <c r="K68" s="582"/>
      <c r="L68" s="582"/>
    </row>
    <row r="69" spans="1:12" x14ac:dyDescent="0.25">
      <c r="A69" s="1214"/>
      <c r="B69" s="1214"/>
      <c r="C69" s="1214"/>
      <c r="D69" s="1214"/>
      <c r="E69" s="1214"/>
      <c r="F69" s="1214"/>
      <c r="G69" s="573"/>
      <c r="H69" s="573"/>
      <c r="I69" s="573"/>
      <c r="J69" s="573"/>
      <c r="K69" s="573"/>
      <c r="L69" s="573"/>
    </row>
    <row r="70" spans="1:12" x14ac:dyDescent="0.25">
      <c r="A70" s="580"/>
      <c r="B70" s="580"/>
      <c r="C70" s="580"/>
      <c r="D70" s="580"/>
      <c r="E70" s="580"/>
      <c r="F70" s="580"/>
      <c r="G70" s="573"/>
      <c r="H70" s="573"/>
      <c r="I70" s="573"/>
      <c r="J70" s="573"/>
      <c r="K70" s="573"/>
      <c r="L70" s="573"/>
    </row>
    <row r="71" spans="1:12" x14ac:dyDescent="0.25">
      <c r="A71" s="1214" t="s">
        <v>481</v>
      </c>
      <c r="B71" s="1214"/>
      <c r="C71" s="1214"/>
      <c r="D71" s="1214"/>
      <c r="E71" s="1214"/>
      <c r="F71" s="1214"/>
      <c r="G71" s="573"/>
      <c r="H71" s="573"/>
      <c r="I71" s="573"/>
      <c r="J71" s="573"/>
      <c r="K71" s="573"/>
      <c r="L71" s="573"/>
    </row>
    <row r="72" spans="1:12" x14ac:dyDescent="0.25">
      <c r="A72" s="1214"/>
      <c r="B72" s="1214"/>
      <c r="C72" s="1214"/>
      <c r="D72" s="1214"/>
      <c r="E72" s="1214"/>
      <c r="F72" s="1214"/>
      <c r="G72" s="573"/>
      <c r="H72" s="573"/>
      <c r="I72" s="573"/>
      <c r="J72" s="573"/>
      <c r="K72" s="573"/>
      <c r="L72" s="573"/>
    </row>
    <row r="73" spans="1:12" x14ac:dyDescent="0.25">
      <c r="A73" s="612"/>
      <c r="B73" s="612"/>
      <c r="C73" s="612"/>
      <c r="D73" s="612"/>
      <c r="E73" s="612"/>
      <c r="F73" s="612"/>
      <c r="G73" s="573"/>
      <c r="H73" s="573"/>
      <c r="I73" s="573"/>
      <c r="J73" s="573"/>
      <c r="K73" s="573"/>
      <c r="L73" s="573"/>
    </row>
    <row r="74" spans="1:12" x14ac:dyDescent="0.25">
      <c r="A74" s="575" t="s">
        <v>482</v>
      </c>
      <c r="B74" s="580"/>
      <c r="C74" s="580"/>
      <c r="D74" s="580"/>
      <c r="E74" s="580"/>
      <c r="F74" s="580"/>
      <c r="G74" s="573"/>
      <c r="H74" s="573"/>
      <c r="I74" s="573"/>
      <c r="J74" s="573"/>
      <c r="K74" s="573"/>
      <c r="L74" s="573"/>
    </row>
    <row r="75" spans="1:12" ht="15.75" thickBot="1" x14ac:dyDescent="0.3">
      <c r="A75" s="580"/>
      <c r="B75" s="580"/>
      <c r="C75" s="580"/>
      <c r="D75" s="580"/>
      <c r="E75" s="580"/>
      <c r="F75" s="580"/>
      <c r="G75" s="573"/>
      <c r="H75" s="573"/>
      <c r="I75" s="573"/>
      <c r="J75" s="573"/>
      <c r="K75" s="573"/>
      <c r="L75" s="573"/>
    </row>
    <row r="76" spans="1:12" ht="26.25" x14ac:dyDescent="0.25">
      <c r="A76" s="1217" t="s">
        <v>483</v>
      </c>
      <c r="B76" s="1218"/>
      <c r="C76" s="613" t="s">
        <v>484</v>
      </c>
      <c r="D76" s="613" t="s">
        <v>485</v>
      </c>
      <c r="E76" s="613" t="s">
        <v>486</v>
      </c>
      <c r="F76" s="1206" t="s">
        <v>487</v>
      </c>
      <c r="G76" s="573"/>
      <c r="H76" s="573"/>
      <c r="I76" s="573"/>
      <c r="J76" s="573"/>
      <c r="K76" s="573"/>
      <c r="L76" s="573"/>
    </row>
    <row r="77" spans="1:12" ht="25.5" x14ac:dyDescent="0.25">
      <c r="A77" s="1219"/>
      <c r="B77" s="1220"/>
      <c r="C77" s="614" t="s">
        <v>488</v>
      </c>
      <c r="D77" s="1223" t="s">
        <v>489</v>
      </c>
      <c r="E77" s="1223" t="s">
        <v>490</v>
      </c>
      <c r="F77" s="1221"/>
      <c r="G77" s="573"/>
      <c r="H77" s="573"/>
      <c r="I77" s="573"/>
      <c r="J77" s="573"/>
      <c r="K77" s="573"/>
      <c r="L77" s="573"/>
    </row>
    <row r="78" spans="1:12" x14ac:dyDescent="0.25">
      <c r="A78" s="1219"/>
      <c r="B78" s="1220"/>
      <c r="C78" s="615">
        <v>2013</v>
      </c>
      <c r="D78" s="1224"/>
      <c r="E78" s="1224"/>
      <c r="F78" s="1222"/>
      <c r="G78" s="573"/>
      <c r="H78" s="573"/>
      <c r="I78" s="573"/>
      <c r="J78" s="573"/>
      <c r="K78" s="573"/>
      <c r="L78" s="573"/>
    </row>
    <row r="79" spans="1:12" x14ac:dyDescent="0.25">
      <c r="A79" s="1225"/>
      <c r="B79" s="1226"/>
      <c r="C79" s="616" t="s">
        <v>452</v>
      </c>
      <c r="D79" s="617" t="s">
        <v>452</v>
      </c>
      <c r="E79" s="617" t="s">
        <v>452</v>
      </c>
      <c r="F79" s="618" t="s">
        <v>452</v>
      </c>
      <c r="G79" s="573"/>
      <c r="H79" s="573"/>
      <c r="I79" s="573"/>
      <c r="J79" s="573"/>
      <c r="K79" s="573"/>
      <c r="L79" s="573"/>
    </row>
    <row r="80" spans="1:12" x14ac:dyDescent="0.25">
      <c r="A80" s="1210" t="s">
        <v>454</v>
      </c>
      <c r="B80" s="1211"/>
      <c r="C80" s="619">
        <v>95.11</v>
      </c>
      <c r="D80" s="966">
        <f>(D48+F48)/D17</f>
        <v>0.93187586687249035</v>
      </c>
      <c r="E80" s="965">
        <f>(E48+F48)/D17</f>
        <v>0.94232040000000006</v>
      </c>
      <c r="F80" s="592" t="s">
        <v>491</v>
      </c>
      <c r="G80" s="573"/>
      <c r="H80" s="573"/>
      <c r="I80" s="573"/>
      <c r="J80" s="573"/>
      <c r="K80" s="573"/>
      <c r="L80" s="573"/>
    </row>
    <row r="81" spans="1:6" x14ac:dyDescent="0.25">
      <c r="A81" s="1210" t="s">
        <v>455</v>
      </c>
      <c r="B81" s="1211"/>
      <c r="C81" s="619">
        <v>84.35</v>
      </c>
      <c r="D81" s="966">
        <f t="shared" ref="D81:D82" si="2">(D49+F49)/D18</f>
        <v>0.8536223120613069</v>
      </c>
      <c r="E81" s="965">
        <f t="shared" ref="E81:E82" si="3">(E49+F49)/D18</f>
        <v>0.94232039999999995</v>
      </c>
      <c r="F81" s="592" t="s">
        <v>492</v>
      </c>
    </row>
    <row r="82" spans="1:6" x14ac:dyDescent="0.25">
      <c r="A82" s="1208" t="s">
        <v>456</v>
      </c>
      <c r="B82" s="1209"/>
      <c r="C82" s="619">
        <v>119.19</v>
      </c>
      <c r="D82" s="966">
        <f t="shared" si="2"/>
        <v>1.3149576085693861</v>
      </c>
      <c r="E82" s="965">
        <f t="shared" si="3"/>
        <v>1.2</v>
      </c>
      <c r="F82" s="592" t="s">
        <v>492</v>
      </c>
    </row>
    <row r="83" spans="1:6" x14ac:dyDescent="0.25">
      <c r="A83" s="1210" t="s">
        <v>457</v>
      </c>
      <c r="B83" s="1211"/>
      <c r="C83" s="619"/>
      <c r="D83" s="620" t="s">
        <v>348</v>
      </c>
      <c r="E83" s="620" t="s">
        <v>348</v>
      </c>
      <c r="F83" s="592" t="s">
        <v>492</v>
      </c>
    </row>
    <row r="84" spans="1:6" x14ac:dyDescent="0.25">
      <c r="A84" s="1210" t="s">
        <v>458</v>
      </c>
      <c r="B84" s="1211"/>
      <c r="C84" s="619"/>
      <c r="D84" s="620" t="s">
        <v>348</v>
      </c>
      <c r="E84" s="620" t="s">
        <v>348</v>
      </c>
      <c r="F84" s="592" t="s">
        <v>491</v>
      </c>
    </row>
    <row r="85" spans="1:6" x14ac:dyDescent="0.25">
      <c r="A85" s="1210" t="s">
        <v>459</v>
      </c>
      <c r="B85" s="1211"/>
      <c r="C85" s="619">
        <v>119.9</v>
      </c>
      <c r="D85" s="966">
        <f t="shared" ref="D85:D87" si="4">(D53+F53)/D22</f>
        <v>0.50926278786904622</v>
      </c>
      <c r="E85" s="966">
        <f t="shared" ref="E85:E87" si="5">(E53+F53)/D22</f>
        <v>0.94232039999999995</v>
      </c>
      <c r="F85" s="592" t="s">
        <v>492</v>
      </c>
    </row>
    <row r="86" spans="1:6" x14ac:dyDescent="0.25">
      <c r="A86" s="1210" t="s">
        <v>460</v>
      </c>
      <c r="B86" s="1211"/>
      <c r="C86" s="619">
        <v>80</v>
      </c>
      <c r="D86" s="966">
        <f t="shared" si="4"/>
        <v>0.98849111084886998</v>
      </c>
      <c r="E86" s="966">
        <f t="shared" si="5"/>
        <v>0.98849111084886998</v>
      </c>
      <c r="F86" s="592" t="s">
        <v>492</v>
      </c>
    </row>
    <row r="87" spans="1:6" x14ac:dyDescent="0.25">
      <c r="A87" s="1208" t="s">
        <v>461</v>
      </c>
      <c r="B87" s="1209"/>
      <c r="C87" s="619">
        <v>114.48</v>
      </c>
      <c r="D87" s="966">
        <f t="shared" si="4"/>
        <v>1.1124485778306121</v>
      </c>
      <c r="E87" s="966">
        <f t="shared" si="5"/>
        <v>1.1124485778306121</v>
      </c>
      <c r="F87" s="592" t="s">
        <v>492</v>
      </c>
    </row>
    <row r="88" spans="1:6" x14ac:dyDescent="0.25">
      <c r="A88" s="1210" t="s">
        <v>462</v>
      </c>
      <c r="B88" s="1211"/>
      <c r="C88" s="619"/>
      <c r="D88" s="620" t="s">
        <v>348</v>
      </c>
      <c r="E88" s="620" t="s">
        <v>348</v>
      </c>
      <c r="F88" s="586"/>
    </row>
    <row r="89" spans="1:6" x14ac:dyDescent="0.25">
      <c r="A89" s="1212"/>
      <c r="B89" s="1213"/>
      <c r="C89" s="619"/>
      <c r="D89" s="620" t="s">
        <v>348</v>
      </c>
      <c r="E89" s="620" t="s">
        <v>348</v>
      </c>
      <c r="F89" s="586"/>
    </row>
    <row r="90" spans="1:6" ht="15.75" thickBot="1" x14ac:dyDescent="0.3">
      <c r="A90" s="1215" t="s">
        <v>463</v>
      </c>
      <c r="B90" s="1216"/>
      <c r="C90" s="621">
        <v>100</v>
      </c>
      <c r="D90" s="967">
        <f t="shared" ref="D90" si="6">(D58+F58)/D27</f>
        <v>0.83289383287623686</v>
      </c>
      <c r="E90" s="967">
        <f t="shared" ref="E90" si="7">(E58+F58)/D27</f>
        <v>1</v>
      </c>
      <c r="F90" s="622"/>
    </row>
    <row r="92" spans="1:6" x14ac:dyDescent="0.25">
      <c r="A92" s="575" t="s">
        <v>82</v>
      </c>
      <c r="B92" s="580"/>
      <c r="C92" s="580"/>
      <c r="D92" s="580"/>
      <c r="E92" s="580"/>
      <c r="F92" s="580"/>
    </row>
    <row r="93" spans="1:6" x14ac:dyDescent="0.25">
      <c r="A93" s="580"/>
      <c r="B93" s="580"/>
      <c r="C93" s="580"/>
      <c r="D93" s="580"/>
      <c r="E93" s="580"/>
      <c r="F93" s="580"/>
    </row>
    <row r="94" spans="1:6" x14ac:dyDescent="0.25">
      <c r="A94" s="1200" t="s">
        <v>493</v>
      </c>
      <c r="B94" s="1200"/>
      <c r="C94" s="1200"/>
      <c r="D94" s="1200"/>
      <c r="E94" s="1200"/>
      <c r="F94" s="1200"/>
    </row>
    <row r="95" spans="1:6" x14ac:dyDescent="0.25">
      <c r="A95" s="1200"/>
      <c r="B95" s="1200"/>
      <c r="C95" s="1200"/>
      <c r="D95" s="1200"/>
      <c r="E95" s="1200"/>
      <c r="F95" s="1200"/>
    </row>
    <row r="96" spans="1:6" x14ac:dyDescent="0.25">
      <c r="A96" s="631"/>
      <c r="B96" s="631"/>
      <c r="C96" s="631"/>
      <c r="D96" s="631"/>
      <c r="E96" s="631"/>
      <c r="F96" s="631"/>
    </row>
    <row r="97" spans="1:6" x14ac:dyDescent="0.25">
      <c r="A97" s="1214" t="s">
        <v>494</v>
      </c>
      <c r="B97" s="1214"/>
      <c r="C97" s="1214"/>
      <c r="D97" s="1214"/>
      <c r="E97" s="1214"/>
      <c r="F97" s="1214"/>
    </row>
    <row r="98" spans="1:6" x14ac:dyDescent="0.25">
      <c r="A98" s="580"/>
      <c r="B98" s="580"/>
      <c r="C98" s="580"/>
      <c r="D98" s="580"/>
      <c r="E98" s="580"/>
      <c r="F98" s="580"/>
    </row>
    <row r="99" spans="1:6" x14ac:dyDescent="0.25">
      <c r="A99" s="623" t="s">
        <v>495</v>
      </c>
      <c r="B99" s="591"/>
      <c r="C99" s="591"/>
      <c r="D99" s="591"/>
      <c r="E99" s="591"/>
      <c r="F99" s="591"/>
    </row>
    <row r="100" spans="1:6" ht="15.75" thickBot="1" x14ac:dyDescent="0.3">
      <c r="A100" s="573"/>
      <c r="B100" s="573"/>
      <c r="C100" s="573"/>
      <c r="D100" s="573"/>
      <c r="E100" s="573"/>
      <c r="F100" s="573"/>
    </row>
    <row r="101" spans="1:6" x14ac:dyDescent="0.25">
      <c r="A101" s="1201" t="s">
        <v>483</v>
      </c>
      <c r="B101" s="1202"/>
      <c r="C101" s="1205" t="s">
        <v>496</v>
      </c>
      <c r="D101" s="1205"/>
      <c r="E101" s="1205"/>
      <c r="F101" s="1206" t="s">
        <v>487</v>
      </c>
    </row>
    <row r="102" spans="1:6" x14ac:dyDescent="0.25">
      <c r="A102" s="1203"/>
      <c r="B102" s="1204"/>
      <c r="C102" s="588">
        <v>2017</v>
      </c>
      <c r="D102" s="588">
        <v>2018</v>
      </c>
      <c r="E102" s="588">
        <v>2019</v>
      </c>
      <c r="F102" s="1207"/>
    </row>
    <row r="103" spans="1:6" x14ac:dyDescent="0.25">
      <c r="A103" s="1203"/>
      <c r="B103" s="1204"/>
      <c r="C103" s="588" t="s">
        <v>452</v>
      </c>
      <c r="D103" s="588" t="s">
        <v>452</v>
      </c>
      <c r="E103" s="588" t="s">
        <v>452</v>
      </c>
      <c r="F103" s="589" t="s">
        <v>452</v>
      </c>
    </row>
    <row r="104" spans="1:6" x14ac:dyDescent="0.25">
      <c r="A104" s="1198" t="s">
        <v>454</v>
      </c>
      <c r="B104" s="1199"/>
      <c r="C104" s="624">
        <v>93.181629999999998</v>
      </c>
      <c r="D104" s="585"/>
      <c r="E104" s="585"/>
      <c r="F104" s="625" t="s">
        <v>491</v>
      </c>
    </row>
    <row r="105" spans="1:6" x14ac:dyDescent="0.25">
      <c r="A105" s="1198" t="s">
        <v>455</v>
      </c>
      <c r="B105" s="1199"/>
      <c r="C105" s="624">
        <v>93.181629999999998</v>
      </c>
      <c r="D105" s="585"/>
      <c r="E105" s="585"/>
      <c r="F105" s="625" t="s">
        <v>492</v>
      </c>
    </row>
    <row r="106" spans="1:6" x14ac:dyDescent="0.25">
      <c r="A106" s="1198" t="s">
        <v>456</v>
      </c>
      <c r="B106" s="1199"/>
      <c r="C106" s="624">
        <v>120</v>
      </c>
      <c r="D106" s="585"/>
      <c r="E106" s="585"/>
      <c r="F106" s="625" t="s">
        <v>492</v>
      </c>
    </row>
    <row r="107" spans="1:6" x14ac:dyDescent="0.25">
      <c r="A107" s="1198" t="s">
        <v>457</v>
      </c>
      <c r="B107" s="1199"/>
      <c r="C107" s="624" t="s">
        <v>348</v>
      </c>
      <c r="D107" s="585"/>
      <c r="E107" s="585"/>
      <c r="F107" s="625" t="s">
        <v>492</v>
      </c>
    </row>
    <row r="108" spans="1:6" x14ac:dyDescent="0.25">
      <c r="A108" s="1198" t="s">
        <v>458</v>
      </c>
      <c r="B108" s="1199"/>
      <c r="C108" s="624" t="s">
        <v>348</v>
      </c>
      <c r="D108" s="585"/>
      <c r="E108" s="585"/>
      <c r="F108" s="625" t="s">
        <v>491</v>
      </c>
    </row>
    <row r="109" spans="1:6" x14ac:dyDescent="0.25">
      <c r="A109" s="1198" t="s">
        <v>459</v>
      </c>
      <c r="B109" s="1199"/>
      <c r="C109" s="624">
        <v>93.181629999999998</v>
      </c>
      <c r="D109" s="585"/>
      <c r="E109" s="585"/>
      <c r="F109" s="625" t="s">
        <v>492</v>
      </c>
    </row>
    <row r="110" spans="1:6" x14ac:dyDescent="0.25">
      <c r="A110" s="1198" t="s">
        <v>460</v>
      </c>
      <c r="B110" s="1199"/>
      <c r="C110" s="624">
        <v>98.715612696109105</v>
      </c>
      <c r="D110" s="585"/>
      <c r="E110" s="585"/>
      <c r="F110" s="625" t="s">
        <v>492</v>
      </c>
    </row>
    <row r="111" spans="1:6" x14ac:dyDescent="0.25">
      <c r="A111" s="1198" t="s">
        <v>461</v>
      </c>
      <c r="B111" s="1199"/>
      <c r="C111" s="624">
        <v>111.34865528880759</v>
      </c>
      <c r="D111" s="585"/>
      <c r="E111" s="585"/>
      <c r="F111" s="625" t="s">
        <v>492</v>
      </c>
    </row>
    <row r="112" spans="1:6" x14ac:dyDescent="0.25">
      <c r="A112" s="1198" t="s">
        <v>462</v>
      </c>
      <c r="B112" s="1199"/>
      <c r="C112" s="624" t="s">
        <v>348</v>
      </c>
      <c r="D112" s="585"/>
      <c r="E112" s="585"/>
      <c r="F112" s="626">
        <v>0</v>
      </c>
    </row>
    <row r="113" spans="1:6" x14ac:dyDescent="0.25">
      <c r="A113" s="1198"/>
      <c r="B113" s="1199"/>
      <c r="C113" s="624" t="s">
        <v>348</v>
      </c>
      <c r="D113" s="585"/>
      <c r="E113" s="585"/>
      <c r="F113" s="626">
        <v>0</v>
      </c>
    </row>
    <row r="114" spans="1:6" ht="15.75" thickBot="1" x14ac:dyDescent="0.3">
      <c r="A114" s="1195" t="s">
        <v>463</v>
      </c>
      <c r="B114" s="1196"/>
      <c r="C114" s="627">
        <v>100</v>
      </c>
      <c r="D114" s="635"/>
      <c r="E114" s="635"/>
      <c r="F114" s="628"/>
    </row>
    <row r="116" spans="1:6" x14ac:dyDescent="0.25">
      <c r="A116" s="575" t="s">
        <v>350</v>
      </c>
      <c r="B116" s="573"/>
      <c r="C116" s="573"/>
      <c r="D116" s="573"/>
      <c r="E116" s="573"/>
      <c r="F116" s="573"/>
    </row>
    <row r="117" spans="1:6" x14ac:dyDescent="0.25">
      <c r="A117" s="575"/>
      <c r="B117" s="573"/>
      <c r="C117" s="573"/>
      <c r="D117" s="573"/>
      <c r="E117" s="573"/>
      <c r="F117" s="573"/>
    </row>
    <row r="118" spans="1:6" x14ac:dyDescent="0.25">
      <c r="A118" s="1200" t="s">
        <v>497</v>
      </c>
      <c r="B118" s="1200"/>
      <c r="C118" s="1200"/>
      <c r="D118" s="1200"/>
      <c r="E118" s="1200"/>
      <c r="F118" s="1200"/>
    </row>
    <row r="119" spans="1:6" x14ac:dyDescent="0.25">
      <c r="A119" s="1200"/>
      <c r="B119" s="1200"/>
      <c r="C119" s="1200"/>
      <c r="D119" s="1200"/>
      <c r="E119" s="1200"/>
      <c r="F119" s="1200"/>
    </row>
    <row r="120" spans="1:6" x14ac:dyDescent="0.25">
      <c r="A120" s="1200"/>
      <c r="B120" s="1200"/>
      <c r="C120" s="1200"/>
      <c r="D120" s="1200"/>
      <c r="E120" s="1200"/>
      <c r="F120" s="1200"/>
    </row>
    <row r="121" spans="1:6" x14ac:dyDescent="0.25">
      <c r="A121" s="1200"/>
      <c r="B121" s="1200"/>
      <c r="C121" s="1200"/>
      <c r="D121" s="1200"/>
      <c r="E121" s="1200"/>
      <c r="F121" s="1200"/>
    </row>
    <row r="123" spans="1:6" x14ac:dyDescent="0.25">
      <c r="A123" s="1197"/>
      <c r="B123" s="1197"/>
      <c r="C123" s="1197"/>
      <c r="D123" s="1197"/>
      <c r="E123" s="1197"/>
      <c r="F123" s="1197"/>
    </row>
    <row r="124" spans="1:6" x14ac:dyDescent="0.25">
      <c r="A124" s="1197"/>
      <c r="B124" s="1197"/>
      <c r="C124" s="1197"/>
      <c r="D124" s="1197"/>
      <c r="E124" s="1197"/>
      <c r="F124" s="1197"/>
    </row>
    <row r="125" spans="1:6" x14ac:dyDescent="0.25">
      <c r="A125" s="1197"/>
      <c r="B125" s="1197"/>
      <c r="C125" s="1197"/>
      <c r="D125" s="1197"/>
      <c r="E125" s="1197"/>
      <c r="F125" s="1197"/>
    </row>
  </sheetData>
  <customSheetViews>
    <customSheetView guid="{FEE3C04B-CD27-4551-A1CF-8272225D231B}" topLeftCell="A70">
      <selection activeCell="C59" sqref="C59"/>
      <pageMargins left="0.7" right="0.7" top="0.75" bottom="0.75" header="0.3" footer="0.3"/>
    </customSheetView>
    <customSheetView guid="{957A2981-C0FE-4A89-90AC-F40944F7258F}" topLeftCell="A60">
      <selection activeCell="J79" sqref="J79"/>
      <pageMargins left="0.7" right="0.7" top="0.75" bottom="0.75" header="0.3" footer="0.3"/>
    </customSheetView>
    <customSheetView guid="{AE01795C-0F1A-4D22-B411-4CB1D681CFC8}" topLeftCell="A70">
      <selection activeCell="C59" sqref="C59"/>
      <pageMargins left="0.7" right="0.7" top="0.75" bottom="0.75" header="0.3" footer="0.3"/>
    </customSheetView>
  </customSheetViews>
  <mergeCells count="62">
    <mergeCell ref="A32:E33"/>
    <mergeCell ref="A35:E37"/>
    <mergeCell ref="A39:E40"/>
    <mergeCell ref="A9:F9"/>
    <mergeCell ref="A10:F10"/>
    <mergeCell ref="A53:B53"/>
    <mergeCell ref="A54:B54"/>
    <mergeCell ref="A46:B47"/>
    <mergeCell ref="C46:C47"/>
    <mergeCell ref="A49:B49"/>
    <mergeCell ref="A50:B50"/>
    <mergeCell ref="A51:B51"/>
    <mergeCell ref="A52:B52"/>
    <mergeCell ref="A48:B48"/>
    <mergeCell ref="B43:F43"/>
    <mergeCell ref="A45:B45"/>
    <mergeCell ref="D46:D47"/>
    <mergeCell ref="E46:E47"/>
    <mergeCell ref="F46:F47"/>
    <mergeCell ref="A84:B84"/>
    <mergeCell ref="A66:F66"/>
    <mergeCell ref="A80:B80"/>
    <mergeCell ref="A81:B81"/>
    <mergeCell ref="A82:B82"/>
    <mergeCell ref="A83:B83"/>
    <mergeCell ref="A63:F64"/>
    <mergeCell ref="A55:B55"/>
    <mergeCell ref="A56:B56"/>
    <mergeCell ref="A57:B57"/>
    <mergeCell ref="A58:B58"/>
    <mergeCell ref="A59:B59"/>
    <mergeCell ref="A87:B87"/>
    <mergeCell ref="A88:B88"/>
    <mergeCell ref="A89:B89"/>
    <mergeCell ref="A68:F69"/>
    <mergeCell ref="A105:B105"/>
    <mergeCell ref="A71:F72"/>
    <mergeCell ref="A94:F95"/>
    <mergeCell ref="A97:F97"/>
    <mergeCell ref="A90:B90"/>
    <mergeCell ref="A85:B85"/>
    <mergeCell ref="A86:B86"/>
    <mergeCell ref="A76:B78"/>
    <mergeCell ref="F76:F78"/>
    <mergeCell ref="D77:D78"/>
    <mergeCell ref="E77:E78"/>
    <mergeCell ref="A79:B79"/>
    <mergeCell ref="A106:B106"/>
    <mergeCell ref="A101:B103"/>
    <mergeCell ref="C101:E101"/>
    <mergeCell ref="F101:F102"/>
    <mergeCell ref="A104:B104"/>
    <mergeCell ref="A114:B114"/>
    <mergeCell ref="A123:F125"/>
    <mergeCell ref="A107:B107"/>
    <mergeCell ref="A108:B108"/>
    <mergeCell ref="A109:B109"/>
    <mergeCell ref="A110:B110"/>
    <mergeCell ref="A111:B111"/>
    <mergeCell ref="A112:B112"/>
    <mergeCell ref="A118:F121"/>
    <mergeCell ref="A113:B1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28" workbookViewId="0">
      <selection activeCell="B18" sqref="B18"/>
    </sheetView>
  </sheetViews>
  <sheetFormatPr defaultRowHeight="15" x14ac:dyDescent="0.25"/>
  <cols>
    <col min="1" max="1" width="42.7109375" customWidth="1"/>
    <col min="2" max="2" width="15" bestFit="1" customWidth="1"/>
    <col min="3" max="3" width="19.7109375" bestFit="1" customWidth="1"/>
    <col min="4" max="4" width="18" customWidth="1"/>
    <col min="5" max="5" width="18.7109375" bestFit="1" customWidth="1"/>
  </cols>
  <sheetData>
    <row r="1" spans="1:6" x14ac:dyDescent="0.25">
      <c r="A1" s="637"/>
      <c r="B1" s="637"/>
      <c r="C1" s="637"/>
      <c r="D1" s="637"/>
      <c r="E1" s="643" t="s">
        <v>0</v>
      </c>
      <c r="F1" s="676">
        <v>0</v>
      </c>
    </row>
    <row r="2" spans="1:6" x14ac:dyDescent="0.25">
      <c r="A2" s="637"/>
      <c r="B2" s="637"/>
      <c r="C2" s="637"/>
      <c r="D2" s="637"/>
      <c r="E2" s="643" t="s">
        <v>1</v>
      </c>
      <c r="F2" s="638"/>
    </row>
    <row r="3" spans="1:6" x14ac:dyDescent="0.25">
      <c r="A3" s="637"/>
      <c r="B3" s="637"/>
      <c r="C3" s="637"/>
      <c r="D3" s="637"/>
      <c r="E3" s="643" t="s">
        <v>2</v>
      </c>
      <c r="F3" s="638"/>
    </row>
    <row r="4" spans="1:6" x14ac:dyDescent="0.25">
      <c r="A4" s="637"/>
      <c r="B4" s="637"/>
      <c r="C4" s="637"/>
      <c r="D4" s="637"/>
      <c r="E4" s="643" t="s">
        <v>3</v>
      </c>
      <c r="F4" s="638"/>
    </row>
    <row r="5" spans="1:6" x14ac:dyDescent="0.25">
      <c r="A5" s="637"/>
      <c r="B5" s="637"/>
      <c r="C5" s="637"/>
      <c r="D5" s="637"/>
      <c r="E5" s="643" t="s">
        <v>4</v>
      </c>
      <c r="F5" s="639"/>
    </row>
    <row r="6" spans="1:6" x14ac:dyDescent="0.25">
      <c r="A6" s="637"/>
      <c r="B6" s="637"/>
      <c r="C6" s="637"/>
      <c r="D6" s="637"/>
      <c r="E6" s="643"/>
      <c r="F6" s="676"/>
    </row>
    <row r="7" spans="1:6" x14ac:dyDescent="0.25">
      <c r="A7" s="637"/>
      <c r="B7" s="637"/>
      <c r="C7" s="637"/>
      <c r="D7" s="637"/>
      <c r="E7" s="643" t="s">
        <v>5</v>
      </c>
      <c r="F7" s="639"/>
    </row>
    <row r="9" spans="1:6" ht="18" x14ac:dyDescent="0.25">
      <c r="A9" s="1120" t="s">
        <v>498</v>
      </c>
      <c r="B9" s="1120"/>
      <c r="C9" s="1120"/>
      <c r="D9" s="1120"/>
      <c r="E9" s="1120"/>
      <c r="F9" s="1120"/>
    </row>
    <row r="10" spans="1:6" ht="18" x14ac:dyDescent="0.25">
      <c r="A10" s="1120" t="s">
        <v>499</v>
      </c>
      <c r="B10" s="1120"/>
      <c r="C10" s="1120"/>
      <c r="D10" s="1120"/>
      <c r="E10" s="1120"/>
      <c r="F10" s="1120"/>
    </row>
    <row r="12" spans="1:6" x14ac:dyDescent="0.25">
      <c r="A12" s="640" t="s">
        <v>500</v>
      </c>
      <c r="B12" s="637"/>
      <c r="C12" s="637"/>
      <c r="D12" s="637"/>
      <c r="E12" s="637"/>
      <c r="F12" s="637"/>
    </row>
    <row r="14" spans="1:6" x14ac:dyDescent="0.25">
      <c r="A14" s="641" t="s">
        <v>501</v>
      </c>
      <c r="B14" s="641"/>
      <c r="C14" s="637"/>
      <c r="D14" s="637"/>
      <c r="E14" s="637"/>
      <c r="F14" s="637"/>
    </row>
    <row r="15" spans="1:6" ht="15.75" thickBot="1" x14ac:dyDescent="0.3">
      <c r="A15" s="637"/>
      <c r="B15" s="637"/>
      <c r="C15" s="637"/>
      <c r="D15" s="637"/>
      <c r="E15" s="637"/>
      <c r="F15" s="637"/>
    </row>
    <row r="16" spans="1:6" x14ac:dyDescent="0.25">
      <c r="A16" s="1247" t="s">
        <v>502</v>
      </c>
      <c r="B16" s="1248"/>
      <c r="C16" s="640"/>
      <c r="D16" s="637"/>
      <c r="E16" s="637"/>
      <c r="F16" s="637"/>
    </row>
    <row r="17" spans="1:5" x14ac:dyDescent="0.25">
      <c r="A17" s="644" t="s">
        <v>503</v>
      </c>
      <c r="B17" s="645">
        <v>36432.680734342255</v>
      </c>
      <c r="C17" s="637"/>
      <c r="D17" s="637"/>
      <c r="E17" s="637"/>
    </row>
    <row r="18" spans="1:5" ht="15.75" thickBot="1" x14ac:dyDescent="0.3">
      <c r="A18" s="646" t="s">
        <v>504</v>
      </c>
      <c r="B18" s="647">
        <v>301593274.34950149</v>
      </c>
      <c r="C18" s="637"/>
      <c r="D18" s="637"/>
      <c r="E18" s="637"/>
    </row>
    <row r="19" spans="1:5" ht="15.75" thickBot="1" x14ac:dyDescent="0.3">
      <c r="A19" s="637"/>
      <c r="B19" s="637"/>
      <c r="C19" s="637"/>
      <c r="D19" s="637"/>
      <c r="E19" s="637"/>
    </row>
    <row r="20" spans="1:5" ht="28.5" thickBot="1" x14ac:dyDescent="0.3">
      <c r="A20" s="648" t="s">
        <v>505</v>
      </c>
      <c r="B20" s="649">
        <v>10072165.721353298</v>
      </c>
      <c r="C20" s="637"/>
      <c r="D20" s="637"/>
      <c r="E20" s="637"/>
    </row>
    <row r="21" spans="1:5" ht="15.75" thickBot="1" x14ac:dyDescent="0.3">
      <c r="A21" s="637"/>
      <c r="B21" s="637"/>
      <c r="C21" s="637"/>
      <c r="D21" s="637"/>
      <c r="E21" s="637"/>
    </row>
    <row r="22" spans="1:5" x14ac:dyDescent="0.25">
      <c r="A22" s="1247" t="s">
        <v>506</v>
      </c>
      <c r="B22" s="1248"/>
      <c r="C22" s="637"/>
      <c r="D22" s="637"/>
      <c r="E22" s="637"/>
    </row>
    <row r="23" spans="1:5" x14ac:dyDescent="0.25">
      <c r="A23" s="644" t="s">
        <v>507</v>
      </c>
      <c r="B23" s="677">
        <v>14.64</v>
      </c>
      <c r="C23" s="637"/>
      <c r="D23" s="637"/>
      <c r="E23" s="637"/>
    </row>
    <row r="24" spans="1:5" ht="15.75" thickBot="1" x14ac:dyDescent="0.3">
      <c r="A24" s="646" t="s">
        <v>508</v>
      </c>
      <c r="B24" s="650">
        <v>1.0999999999999999E-2</v>
      </c>
      <c r="C24" s="637"/>
      <c r="D24" s="637"/>
      <c r="E24" s="637"/>
    </row>
    <row r="25" spans="1:5" x14ac:dyDescent="0.25">
      <c r="A25" s="637"/>
      <c r="B25" s="637"/>
      <c r="C25" s="637"/>
      <c r="D25" s="637"/>
      <c r="E25" s="637"/>
    </row>
    <row r="26" spans="1:5" x14ac:dyDescent="0.25">
      <c r="A26" s="641" t="s">
        <v>509</v>
      </c>
      <c r="B26" s="637"/>
      <c r="C26" s="637"/>
      <c r="D26" s="637"/>
      <c r="E26" s="637"/>
    </row>
    <row r="27" spans="1:5" ht="15.75" thickBot="1" x14ac:dyDescent="0.3">
      <c r="A27" s="637"/>
      <c r="B27" s="637"/>
      <c r="C27" s="637"/>
      <c r="D27" s="637"/>
      <c r="E27" s="637"/>
    </row>
    <row r="28" spans="1:5" x14ac:dyDescent="0.25">
      <c r="A28" s="651"/>
      <c r="B28" s="652" t="s">
        <v>510</v>
      </c>
      <c r="C28" s="653" t="s">
        <v>511</v>
      </c>
      <c r="D28" s="654" t="s">
        <v>512</v>
      </c>
      <c r="E28" s="679" t="s">
        <v>513</v>
      </c>
    </row>
    <row r="29" spans="1:5" x14ac:dyDescent="0.25">
      <c r="A29" s="644" t="s">
        <v>514</v>
      </c>
      <c r="B29" s="642">
        <f>IF(B23="","",B23)</f>
        <v>14.64</v>
      </c>
      <c r="C29" s="968">
        <f>IF(B17="","",B17)</f>
        <v>36432.680734342255</v>
      </c>
      <c r="D29" s="969">
        <f>IF(ISERROR(B29*C29*12),"",B29*C29*12)</f>
        <v>6400493.3514092471</v>
      </c>
      <c r="E29" s="970">
        <f>IF(ISERROR(D29/D31),"",D29/D31)</f>
        <v>0.65862117662158293</v>
      </c>
    </row>
    <row r="30" spans="1:5" x14ac:dyDescent="0.25">
      <c r="A30" s="644" t="s">
        <v>515</v>
      </c>
      <c r="B30" s="642">
        <f>IF(B24="","",B24)</f>
        <v>1.0999999999999999E-2</v>
      </c>
      <c r="C30" s="971">
        <f>IF(B18="","",B18)</f>
        <v>301593274.34950149</v>
      </c>
      <c r="D30" s="969">
        <f>IF(ISERROR(B30*C30),"",B30*C30)</f>
        <v>3317526.0178445163</v>
      </c>
      <c r="E30" s="970">
        <f>IF(ISERROR(D30/D31),"",D30/D31)</f>
        <v>0.34137882337841702</v>
      </c>
    </row>
    <row r="31" spans="1:5" ht="15.75" thickBot="1" x14ac:dyDescent="0.3">
      <c r="A31" s="655" t="s">
        <v>516</v>
      </c>
      <c r="B31" s="972" t="s">
        <v>517</v>
      </c>
      <c r="C31" s="973" t="s">
        <v>517</v>
      </c>
      <c r="D31" s="974">
        <f>IF(ISERROR(D29+D30),"",D29+D30)</f>
        <v>9718019.3692537639</v>
      </c>
      <c r="E31" s="975" t="s">
        <v>517</v>
      </c>
    </row>
    <row r="32" spans="1:5" x14ac:dyDescent="0.25">
      <c r="A32" s="640"/>
      <c r="B32" s="637"/>
      <c r="C32" s="637"/>
      <c r="D32" s="637"/>
      <c r="E32" s="637"/>
    </row>
    <row r="33" spans="1:6" x14ac:dyDescent="0.25">
      <c r="A33" s="656" t="s">
        <v>518</v>
      </c>
      <c r="B33" s="637"/>
      <c r="C33" s="637"/>
      <c r="D33" s="637"/>
      <c r="E33" s="637"/>
      <c r="F33" s="637"/>
    </row>
    <row r="34" spans="1:6" ht="15.75" thickBot="1" x14ac:dyDescent="0.3">
      <c r="A34" s="640"/>
      <c r="B34" s="637"/>
      <c r="C34" s="637"/>
      <c r="D34" s="637"/>
      <c r="E34" s="637"/>
      <c r="F34" s="637"/>
    </row>
    <row r="35" spans="1:6" ht="28.5" thickBot="1" x14ac:dyDescent="0.3">
      <c r="A35" s="657" t="s">
        <v>519</v>
      </c>
      <c r="B35" s="658">
        <v>3</v>
      </c>
      <c r="C35" s="640"/>
      <c r="D35" s="637"/>
      <c r="E35" s="637"/>
      <c r="F35" s="637"/>
    </row>
    <row r="36" spans="1:6" ht="15.75" thickBot="1" x14ac:dyDescent="0.3">
      <c r="A36" s="640"/>
      <c r="B36" s="637"/>
      <c r="C36" s="637"/>
      <c r="D36" s="637"/>
      <c r="E36" s="637"/>
      <c r="F36" s="637"/>
    </row>
    <row r="37" spans="1:6" ht="51.75" x14ac:dyDescent="0.25">
      <c r="A37" s="659"/>
      <c r="B37" s="660" t="s">
        <v>520</v>
      </c>
      <c r="C37" s="661" t="s">
        <v>521</v>
      </c>
      <c r="D37" s="662" t="s">
        <v>522</v>
      </c>
      <c r="E37" s="637"/>
      <c r="F37" s="637"/>
    </row>
    <row r="38" spans="1:6" x14ac:dyDescent="0.25">
      <c r="A38" s="644" t="s">
        <v>514</v>
      </c>
      <c r="B38" s="969">
        <f>IF(ISERROR(B$20*E29),"",B$20*E29)</f>
        <v>6633741.6385252839</v>
      </c>
      <c r="C38" s="663">
        <f>IF(ISERROR(ROUND(B38/B17/12,2)),"",ROUND(B38/B17/12,2))</f>
        <v>15.17</v>
      </c>
      <c r="D38" s="976">
        <f>IF(ISERROR(C38*B17*12),"",C38*B17*12)</f>
        <v>6632205.2008796651</v>
      </c>
      <c r="E38" s="637"/>
      <c r="F38" s="637"/>
    </row>
    <row r="39" spans="1:6" x14ac:dyDescent="0.25">
      <c r="A39" s="664" t="s">
        <v>515</v>
      </c>
      <c r="B39" s="977">
        <f>IF(ISERROR(B$20*E30),"",B$20*E30)</f>
        <v>3438424.0828280137</v>
      </c>
      <c r="C39" s="665">
        <f>IF(ISERROR(ROUND(B39/B18,4)),"",ROUND(B39/B18,4))</f>
        <v>1.14E-2</v>
      </c>
      <c r="D39" s="976">
        <f>IF(ISERROR(C39*B18),"",C39*B18)</f>
        <v>3438163.327584317</v>
      </c>
      <c r="E39" s="637"/>
      <c r="F39" s="637"/>
    </row>
    <row r="40" spans="1:6" ht="15.75" thickBot="1" x14ac:dyDescent="0.3">
      <c r="A40" s="666" t="s">
        <v>516</v>
      </c>
      <c r="B40" s="978">
        <f>IF(ISERROR(B38+B39),"",B38+B39)</f>
        <v>10072165.721353298</v>
      </c>
      <c r="C40" s="667" t="s">
        <v>517</v>
      </c>
      <c r="D40" s="979">
        <f>IF(ISERROR(D38+D39),"",D38+D39)</f>
        <v>10070368.528463982</v>
      </c>
      <c r="E40" s="637"/>
      <c r="F40" s="637"/>
    </row>
    <row r="41" spans="1:6" ht="15.75" thickBot="1" x14ac:dyDescent="0.3">
      <c r="A41" s="640"/>
      <c r="B41" s="637"/>
      <c r="C41" s="637"/>
      <c r="D41" s="637"/>
      <c r="E41" s="637"/>
      <c r="F41" s="637"/>
    </row>
    <row r="42" spans="1:6" ht="39" x14ac:dyDescent="0.25">
      <c r="A42" s="659"/>
      <c r="B42" s="653" t="s">
        <v>523</v>
      </c>
      <c r="C42" s="668" t="s">
        <v>524</v>
      </c>
      <c r="D42" s="669" t="s">
        <v>525</v>
      </c>
      <c r="E42" s="670" t="s">
        <v>526</v>
      </c>
      <c r="F42" s="640"/>
    </row>
    <row r="43" spans="1:6" x14ac:dyDescent="0.25">
      <c r="A43" s="644" t="s">
        <v>514</v>
      </c>
      <c r="B43" s="980">
        <f>IF(ISERROR(((1-E29)/B35)+E29),"",((1-E29)/B35)+E29)</f>
        <v>0.77241411774772195</v>
      </c>
      <c r="C43" s="671">
        <f>IF(ISERROR(B43*B$20),"",B43*B$20)</f>
        <v>7779882.999467955</v>
      </c>
      <c r="D43" s="663">
        <f>IF(ISERROR(ROUND(C43/B17/12,2)),"",ROUND(C43/B17/12,2))</f>
        <v>17.8</v>
      </c>
      <c r="E43" s="976">
        <f>IF(ISERROR(D43*12*B17),"",D43*12*B17)</f>
        <v>7782020.6048555067</v>
      </c>
      <c r="F43" s="640"/>
    </row>
    <row r="44" spans="1:6" x14ac:dyDescent="0.25">
      <c r="A44" s="664" t="s">
        <v>515</v>
      </c>
      <c r="B44" s="981">
        <f>IF(ISERROR(1-B43),"",1-B43)</f>
        <v>0.22758588225227805</v>
      </c>
      <c r="C44" s="672">
        <f>IF(ISERROR(B44*B$20),"",B44*B$20)</f>
        <v>2292282.7218853431</v>
      </c>
      <c r="D44" s="665">
        <f>IF(ISERROR(ROUND(C44/B18,4)),"",ROUND(C44/B18,4))</f>
        <v>7.6E-3</v>
      </c>
      <c r="E44" s="982">
        <f>IF(ISERROR(D44*B18),"",D44*B18)</f>
        <v>2292108.8850562111</v>
      </c>
      <c r="F44" s="640"/>
    </row>
    <row r="45" spans="1:6" ht="15.75" thickBot="1" x14ac:dyDescent="0.3">
      <c r="A45" s="666" t="s">
        <v>516</v>
      </c>
      <c r="B45" s="673" t="s">
        <v>517</v>
      </c>
      <c r="C45" s="974">
        <f>IF(ISERROR(SUM(C43:C44)),"",SUM(C43:C44))</f>
        <v>10072165.721353298</v>
      </c>
      <c r="D45" s="667" t="s">
        <v>517</v>
      </c>
      <c r="E45" s="983">
        <f>IF(ISERROR(E43+E44),"",E43+E44)</f>
        <v>10074129.489911718</v>
      </c>
      <c r="F45" s="637"/>
    </row>
    <row r="46" spans="1:6" ht="15.75" thickBot="1" x14ac:dyDescent="0.3">
      <c r="A46" s="640"/>
      <c r="B46" s="637"/>
      <c r="C46" s="637"/>
      <c r="D46" s="637"/>
      <c r="E46" s="637"/>
      <c r="F46" s="637"/>
    </row>
    <row r="47" spans="1:6" x14ac:dyDescent="0.25">
      <c r="A47" s="1247" t="s">
        <v>527</v>
      </c>
      <c r="B47" s="1248"/>
      <c r="C47" s="637"/>
      <c r="D47" s="637"/>
      <c r="E47" s="637"/>
      <c r="F47" s="637"/>
    </row>
    <row r="48" spans="1:6" ht="24" customHeight="1" x14ac:dyDescent="0.25">
      <c r="A48" s="644" t="s">
        <v>528</v>
      </c>
      <c r="B48" s="976">
        <f>IF(ISERROR(D43-C38),"",D43-C38)</f>
        <v>2.6300000000000008</v>
      </c>
      <c r="C48" s="637"/>
      <c r="D48" s="637"/>
      <c r="E48" s="637"/>
      <c r="F48" s="637"/>
    </row>
    <row r="49" spans="1:6" x14ac:dyDescent="0.25">
      <c r="A49" s="1249" t="s">
        <v>529</v>
      </c>
      <c r="B49" s="982">
        <f>IF(ISERROR((D43*12*B17)+(D44*B18)-B20),"",(D43*12*B17)+(D44*B18)-B20)</f>
        <v>1963.7685584202409</v>
      </c>
      <c r="C49" s="637"/>
      <c r="D49" s="637"/>
      <c r="E49" s="637"/>
      <c r="F49" s="637"/>
    </row>
    <row r="50" spans="1:6" ht="15.75" thickBot="1" x14ac:dyDescent="0.3">
      <c r="A50" s="1250"/>
      <c r="B50" s="984">
        <f>IF(ISERROR(B49/B20), "", B49/B20)</f>
        <v>1.9496984191364044E-4</v>
      </c>
      <c r="C50" s="637"/>
      <c r="D50" s="637"/>
      <c r="E50" s="637"/>
      <c r="F50" s="637"/>
    </row>
    <row r="51" spans="1:6" x14ac:dyDescent="0.25">
      <c r="A51" s="640"/>
      <c r="B51" s="637"/>
      <c r="C51" s="637"/>
      <c r="D51" s="637"/>
      <c r="E51" s="637"/>
      <c r="F51" s="637"/>
    </row>
    <row r="52" spans="1:6" x14ac:dyDescent="0.25">
      <c r="A52" s="641" t="s">
        <v>82</v>
      </c>
      <c r="B52" s="637"/>
      <c r="C52" s="637"/>
      <c r="D52" s="637"/>
      <c r="E52" s="637"/>
      <c r="F52" s="637"/>
    </row>
    <row r="54" spans="1:6" x14ac:dyDescent="0.25">
      <c r="A54" s="1245" t="s">
        <v>530</v>
      </c>
      <c r="B54" s="1245"/>
      <c r="C54" s="1245"/>
      <c r="D54" s="1245"/>
      <c r="E54" s="1245"/>
      <c r="F54" s="637"/>
    </row>
    <row r="55" spans="1:6" x14ac:dyDescent="0.25">
      <c r="A55" s="1245"/>
      <c r="B55" s="1245"/>
      <c r="C55" s="1245"/>
      <c r="D55" s="1245"/>
      <c r="E55" s="1245"/>
      <c r="F55" s="637"/>
    </row>
    <row r="56" spans="1:6" x14ac:dyDescent="0.25">
      <c r="A56" s="637"/>
      <c r="B56" s="674"/>
      <c r="C56" s="674"/>
      <c r="D56" s="674"/>
      <c r="E56" s="674"/>
      <c r="F56" s="674"/>
    </row>
    <row r="57" spans="1:6" x14ac:dyDescent="0.25">
      <c r="A57" s="1246" t="s">
        <v>531</v>
      </c>
      <c r="B57" s="1246"/>
      <c r="C57" s="1246"/>
      <c r="D57" s="1246"/>
      <c r="E57" s="1246"/>
      <c r="F57" s="674"/>
    </row>
    <row r="58" spans="1:6" x14ac:dyDescent="0.25">
      <c r="A58" s="1246"/>
      <c r="B58" s="1246"/>
      <c r="C58" s="1246"/>
      <c r="D58" s="1246"/>
      <c r="E58" s="1246"/>
      <c r="F58" s="678"/>
    </row>
    <row r="59" spans="1:6" x14ac:dyDescent="0.25">
      <c r="A59" s="1246"/>
      <c r="B59" s="1246"/>
      <c r="C59" s="1246"/>
      <c r="D59" s="1246"/>
      <c r="E59" s="1246"/>
      <c r="F59" s="678"/>
    </row>
    <row r="60" spans="1:6" x14ac:dyDescent="0.25">
      <c r="A60" s="1246" t="s">
        <v>532</v>
      </c>
      <c r="B60" s="1246"/>
      <c r="C60" s="1246"/>
      <c r="D60" s="1246"/>
      <c r="E60" s="1246"/>
      <c r="F60" s="675"/>
    </row>
    <row r="61" spans="1:6" x14ac:dyDescent="0.25">
      <c r="A61" s="1246"/>
      <c r="B61" s="1246"/>
      <c r="C61" s="1246"/>
      <c r="D61" s="1246"/>
      <c r="E61" s="1246"/>
      <c r="F61" s="637"/>
    </row>
  </sheetData>
  <customSheetViews>
    <customSheetView guid="{FEE3C04B-CD27-4551-A1CF-8272225D231B}" topLeftCell="A28">
      <selection activeCell="B18" sqref="B18"/>
      <pageMargins left="0.7" right="0.7" top="0.75" bottom="0.75" header="0.3" footer="0.3"/>
    </customSheetView>
    <customSheetView guid="{957A2981-C0FE-4A89-90AC-F40944F7258F}" topLeftCell="A22">
      <selection activeCell="E37" sqref="E37"/>
      <pageMargins left="0.7" right="0.7" top="0.75" bottom="0.75" header="0.3" footer="0.3"/>
    </customSheetView>
    <customSheetView guid="{AE01795C-0F1A-4D22-B411-4CB1D681CFC8}" topLeftCell="A28">
      <selection activeCell="B18" sqref="B18"/>
      <pageMargins left="0.7" right="0.7" top="0.75" bottom="0.75" header="0.3" footer="0.3"/>
    </customSheetView>
  </customSheetViews>
  <mergeCells count="9">
    <mergeCell ref="A54:E55"/>
    <mergeCell ref="A57:E59"/>
    <mergeCell ref="A60:E61"/>
    <mergeCell ref="A9:F9"/>
    <mergeCell ref="A10:F10"/>
    <mergeCell ref="A16:B16"/>
    <mergeCell ref="A22:B22"/>
    <mergeCell ref="A47:B47"/>
    <mergeCell ref="A49:A5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10" workbookViewId="0">
      <selection activeCell="B36" sqref="B36:H39"/>
    </sheetView>
  </sheetViews>
  <sheetFormatPr defaultRowHeight="15" x14ac:dyDescent="0.25"/>
  <cols>
    <col min="2" max="2" width="52" bestFit="1" customWidth="1"/>
    <col min="3" max="6" width="12.28515625" bestFit="1" customWidth="1"/>
    <col min="7" max="7" width="12.7109375" bestFit="1" customWidth="1"/>
    <col min="8" max="8" width="15" bestFit="1" customWidth="1"/>
  </cols>
  <sheetData>
    <row r="1" spans="1:11" x14ac:dyDescent="0.25">
      <c r="A1" s="682"/>
      <c r="B1" s="682"/>
      <c r="C1" s="682"/>
      <c r="D1" s="682"/>
      <c r="E1" s="682"/>
      <c r="F1" s="682"/>
      <c r="G1" s="692" t="s">
        <v>0</v>
      </c>
      <c r="H1" s="684">
        <v>0</v>
      </c>
      <c r="I1" s="682"/>
      <c r="J1" s="682"/>
      <c r="K1" s="682"/>
    </row>
    <row r="2" spans="1:11" x14ac:dyDescent="0.25">
      <c r="A2" s="682"/>
      <c r="B2" s="682"/>
      <c r="C2" s="682"/>
      <c r="D2" s="682"/>
      <c r="E2" s="682"/>
      <c r="F2" s="682"/>
      <c r="G2" s="692" t="s">
        <v>1</v>
      </c>
      <c r="H2" s="685"/>
      <c r="I2" s="682"/>
      <c r="J2" s="682"/>
      <c r="K2" s="682"/>
    </row>
    <row r="3" spans="1:11" x14ac:dyDescent="0.25">
      <c r="A3" s="682"/>
      <c r="B3" s="682"/>
      <c r="C3" s="682"/>
      <c r="D3" s="682"/>
      <c r="E3" s="682"/>
      <c r="F3" s="682"/>
      <c r="G3" s="692" t="s">
        <v>2</v>
      </c>
      <c r="H3" s="685"/>
      <c r="I3" s="682"/>
      <c r="J3" s="682"/>
      <c r="K3" s="682"/>
    </row>
    <row r="4" spans="1:11" x14ac:dyDescent="0.25">
      <c r="A4" s="682"/>
      <c r="B4" s="682"/>
      <c r="C4" s="682"/>
      <c r="D4" s="682"/>
      <c r="E4" s="682"/>
      <c r="F4" s="682"/>
      <c r="G4" s="692" t="s">
        <v>3</v>
      </c>
      <c r="H4" s="685"/>
      <c r="I4" s="682"/>
      <c r="J4" s="682"/>
      <c r="K4" s="682"/>
    </row>
    <row r="5" spans="1:11" x14ac:dyDescent="0.25">
      <c r="A5" s="682"/>
      <c r="B5" s="682"/>
      <c r="C5" s="682"/>
      <c r="D5" s="682"/>
      <c r="E5" s="682"/>
      <c r="F5" s="682"/>
      <c r="G5" s="692" t="s">
        <v>4</v>
      </c>
      <c r="H5" s="686"/>
      <c r="I5" s="682"/>
      <c r="J5" s="682"/>
      <c r="K5" s="682"/>
    </row>
    <row r="6" spans="1:11" x14ac:dyDescent="0.25">
      <c r="A6" s="682"/>
      <c r="B6" s="682"/>
      <c r="C6" s="682"/>
      <c r="D6" s="682"/>
      <c r="E6" s="682"/>
      <c r="F6" s="682"/>
      <c r="G6" s="692"/>
      <c r="H6" s="684"/>
      <c r="I6" s="682"/>
      <c r="J6" s="682"/>
      <c r="K6" s="682"/>
    </row>
    <row r="7" spans="1:11" x14ac:dyDescent="0.25">
      <c r="A7" s="682"/>
      <c r="B7" s="682"/>
      <c r="C7" s="682"/>
      <c r="D7" s="682"/>
      <c r="E7" s="682"/>
      <c r="F7" s="682"/>
      <c r="G7" s="692" t="s">
        <v>5</v>
      </c>
      <c r="H7" s="686"/>
      <c r="I7" s="682"/>
      <c r="J7" s="682"/>
      <c r="K7" s="682"/>
    </row>
    <row r="8" spans="1:11" x14ac:dyDescent="0.25">
      <c r="A8" s="682"/>
      <c r="B8" s="682"/>
      <c r="C8" s="682"/>
      <c r="D8" s="682"/>
      <c r="E8" s="682"/>
      <c r="F8" s="682"/>
      <c r="G8" s="682"/>
      <c r="H8" s="682"/>
      <c r="I8" s="682"/>
      <c r="J8" s="691"/>
      <c r="K8" s="691"/>
    </row>
    <row r="9" spans="1:11" ht="18" x14ac:dyDescent="0.25">
      <c r="A9" s="1260" t="s">
        <v>533</v>
      </c>
      <c r="B9" s="1260"/>
      <c r="C9" s="1260"/>
      <c r="D9" s="1260"/>
      <c r="E9" s="1260"/>
      <c r="F9" s="1260"/>
      <c r="G9" s="1260"/>
      <c r="H9" s="1260"/>
      <c r="I9" s="682"/>
      <c r="J9" s="691"/>
      <c r="K9" s="691"/>
    </row>
    <row r="10" spans="1:11" ht="18" x14ac:dyDescent="0.25">
      <c r="A10" s="1260" t="s">
        <v>534</v>
      </c>
      <c r="B10" s="1260"/>
      <c r="C10" s="1260"/>
      <c r="D10" s="1260"/>
      <c r="E10" s="1260"/>
      <c r="F10" s="1260"/>
      <c r="G10" s="1260"/>
      <c r="H10" s="1260"/>
      <c r="I10" s="682"/>
      <c r="J10" s="691"/>
      <c r="K10" s="691"/>
    </row>
    <row r="11" spans="1:11" x14ac:dyDescent="0.25">
      <c r="A11" s="1261"/>
      <c r="B11" s="1261"/>
      <c r="C11" s="1261"/>
      <c r="D11" s="1261"/>
      <c r="E11" s="1261"/>
      <c r="F11" s="1261"/>
      <c r="G11" s="1261"/>
      <c r="H11" s="1261"/>
      <c r="I11" s="682"/>
      <c r="J11" s="691"/>
      <c r="K11" s="691"/>
    </row>
    <row r="12" spans="1:11" ht="15.75" thickBot="1" x14ac:dyDescent="0.3">
      <c r="A12" s="682"/>
      <c r="B12" s="682"/>
      <c r="C12" s="682"/>
      <c r="D12" s="682"/>
      <c r="E12" s="682"/>
      <c r="F12" s="682"/>
      <c r="G12" s="682"/>
      <c r="H12" s="682"/>
      <c r="I12" s="682"/>
      <c r="J12" s="691"/>
      <c r="K12" s="691"/>
    </row>
    <row r="13" spans="1:11" x14ac:dyDescent="0.25">
      <c r="A13" s="1262"/>
      <c r="B13" s="1263"/>
      <c r="C13" s="1266" t="s">
        <v>535</v>
      </c>
      <c r="D13" s="1267"/>
      <c r="E13" s="1267"/>
      <c r="F13" s="1267"/>
      <c r="G13" s="1268"/>
      <c r="H13" s="1269" t="s">
        <v>536</v>
      </c>
      <c r="I13" s="682"/>
      <c r="J13" s="691"/>
      <c r="K13" s="691"/>
    </row>
    <row r="14" spans="1:11" x14ac:dyDescent="0.25">
      <c r="A14" s="1264"/>
      <c r="B14" s="1265"/>
      <c r="C14" s="695">
        <v>2011</v>
      </c>
      <c r="D14" s="695">
        <v>2012</v>
      </c>
      <c r="E14" s="695">
        <v>2013</v>
      </c>
      <c r="F14" s="695">
        <v>2014</v>
      </c>
      <c r="G14" s="695">
        <v>2015</v>
      </c>
      <c r="H14" s="1270"/>
      <c r="I14" s="682"/>
      <c r="J14" s="691"/>
      <c r="K14" s="691"/>
    </row>
    <row r="15" spans="1:11" x14ac:dyDescent="0.25">
      <c r="A15" s="696"/>
      <c r="B15" s="1254" t="s">
        <v>537</v>
      </c>
      <c r="C15" s="1255"/>
      <c r="D15" s="1255"/>
      <c r="E15" s="1255"/>
      <c r="F15" s="1255"/>
      <c r="G15" s="1255"/>
      <c r="H15" s="1256"/>
      <c r="I15" s="682"/>
      <c r="J15" s="691"/>
      <c r="K15" s="691"/>
    </row>
    <row r="16" spans="1:11" x14ac:dyDescent="0.25">
      <c r="A16" s="697" t="s">
        <v>538</v>
      </c>
      <c r="B16" s="693" t="s">
        <v>539</v>
      </c>
      <c r="C16" s="698">
        <v>925893469.04384625</v>
      </c>
      <c r="D16" s="698">
        <v>942785277.07517493</v>
      </c>
      <c r="E16" s="698">
        <v>942123909.22000003</v>
      </c>
      <c r="F16" s="698">
        <v>942123909.22000003</v>
      </c>
      <c r="G16" s="698">
        <v>903713903.86307704</v>
      </c>
      <c r="H16" s="699">
        <v>931328093.68441963</v>
      </c>
      <c r="I16" s="682"/>
      <c r="J16" s="691"/>
      <c r="K16" s="691"/>
    </row>
    <row r="17" spans="1:11" x14ac:dyDescent="0.25">
      <c r="A17" s="697" t="s">
        <v>540</v>
      </c>
      <c r="B17" s="693" t="s">
        <v>541</v>
      </c>
      <c r="C17" s="698">
        <v>943689180.62527764</v>
      </c>
      <c r="D17" s="698">
        <v>963325046.03824198</v>
      </c>
      <c r="E17" s="698">
        <v>960843848.45317769</v>
      </c>
      <c r="F17" s="698">
        <v>913477710.28999996</v>
      </c>
      <c r="G17" s="698">
        <v>920256651.89494765</v>
      </c>
      <c r="H17" s="699">
        <v>940318487.46032906</v>
      </c>
      <c r="I17" s="682"/>
      <c r="J17" s="691"/>
      <c r="K17" s="691"/>
    </row>
    <row r="18" spans="1:11" ht="25.5" x14ac:dyDescent="0.25">
      <c r="A18" s="697" t="s">
        <v>542</v>
      </c>
      <c r="B18" s="693" t="s">
        <v>543</v>
      </c>
      <c r="C18" s="698">
        <v>0</v>
      </c>
      <c r="D18" s="698">
        <v>0</v>
      </c>
      <c r="E18" s="698">
        <v>0</v>
      </c>
      <c r="F18" s="698">
        <v>0</v>
      </c>
      <c r="G18" s="698">
        <v>0</v>
      </c>
      <c r="H18" s="699">
        <v>0</v>
      </c>
      <c r="I18" s="682"/>
      <c r="J18" s="691"/>
      <c r="K18" s="691"/>
    </row>
    <row r="19" spans="1:11" x14ac:dyDescent="0.25">
      <c r="A19" s="697" t="s">
        <v>544</v>
      </c>
      <c r="B19" s="693" t="s">
        <v>545</v>
      </c>
      <c r="C19" s="700">
        <v>943689180.62527764</v>
      </c>
      <c r="D19" s="700">
        <v>963325046.03824198</v>
      </c>
      <c r="E19" s="700">
        <v>960843848.45317769</v>
      </c>
      <c r="F19" s="700">
        <v>913477710.28999996</v>
      </c>
      <c r="G19" s="700">
        <v>920256651.89494765</v>
      </c>
      <c r="H19" s="701">
        <v>940318487.46032906</v>
      </c>
      <c r="I19" s="682"/>
      <c r="J19" s="691"/>
      <c r="K19" s="691"/>
    </row>
    <row r="20" spans="1:11" x14ac:dyDescent="0.25">
      <c r="A20" s="697" t="s">
        <v>546</v>
      </c>
      <c r="B20" s="693" t="s">
        <v>547</v>
      </c>
      <c r="C20" s="698">
        <v>919260512.10000002</v>
      </c>
      <c r="D20" s="698">
        <v>936319334</v>
      </c>
      <c r="E20" s="698">
        <v>926349236</v>
      </c>
      <c r="F20" s="698">
        <v>889619639</v>
      </c>
      <c r="G20" s="698">
        <v>904891892</v>
      </c>
      <c r="H20" s="699">
        <v>915288122.62000012</v>
      </c>
      <c r="I20" s="682"/>
      <c r="J20" s="691"/>
      <c r="K20" s="691"/>
    </row>
    <row r="21" spans="1:11" ht="25.5" x14ac:dyDescent="0.25">
      <c r="A21" s="697" t="s">
        <v>548</v>
      </c>
      <c r="B21" s="693" t="s">
        <v>549</v>
      </c>
      <c r="C21" s="698">
        <v>0</v>
      </c>
      <c r="D21" s="698">
        <v>0</v>
      </c>
      <c r="E21" s="698">
        <v>0</v>
      </c>
      <c r="F21" s="698">
        <v>0</v>
      </c>
      <c r="G21" s="698">
        <v>0</v>
      </c>
      <c r="H21" s="699">
        <v>0</v>
      </c>
      <c r="I21" s="682"/>
      <c r="J21" s="691"/>
      <c r="K21" s="691"/>
    </row>
    <row r="22" spans="1:11" x14ac:dyDescent="0.25">
      <c r="A22" s="697" t="s">
        <v>550</v>
      </c>
      <c r="B22" s="693" t="s">
        <v>551</v>
      </c>
      <c r="C22" s="700">
        <v>919260512.10000002</v>
      </c>
      <c r="D22" s="700">
        <v>936319334</v>
      </c>
      <c r="E22" s="700">
        <v>926349236</v>
      </c>
      <c r="F22" s="700">
        <v>889619639</v>
      </c>
      <c r="G22" s="700">
        <v>904891892</v>
      </c>
      <c r="H22" s="701">
        <v>915288122.62000012</v>
      </c>
      <c r="I22" s="682"/>
      <c r="J22" s="691"/>
      <c r="K22" s="691"/>
    </row>
    <row r="23" spans="1:11" x14ac:dyDescent="0.25">
      <c r="A23" s="697" t="s">
        <v>552</v>
      </c>
      <c r="B23" s="693" t="s">
        <v>553</v>
      </c>
      <c r="C23" s="702">
        <v>1.0265742607277579</v>
      </c>
      <c r="D23" s="702">
        <v>1.0288424163184502</v>
      </c>
      <c r="E23" s="702">
        <v>1.0372371575563946</v>
      </c>
      <c r="F23" s="702">
        <v>1.0268182830550123</v>
      </c>
      <c r="G23" s="702">
        <v>1.0169796635717316</v>
      </c>
      <c r="H23" s="703">
        <v>1.0273469787509968</v>
      </c>
      <c r="I23" s="682"/>
      <c r="J23" s="691"/>
      <c r="K23" s="691"/>
    </row>
    <row r="24" spans="1:11" x14ac:dyDescent="0.25">
      <c r="A24" s="704"/>
      <c r="B24" s="1257" t="s">
        <v>554</v>
      </c>
      <c r="C24" s="1258"/>
      <c r="D24" s="1258"/>
      <c r="E24" s="1258"/>
      <c r="F24" s="1258"/>
      <c r="G24" s="1258"/>
      <c r="H24" s="1259"/>
      <c r="I24" s="682"/>
      <c r="J24" s="691"/>
      <c r="K24" s="691"/>
    </row>
    <row r="25" spans="1:11" x14ac:dyDescent="0.25">
      <c r="A25" s="697" t="s">
        <v>555</v>
      </c>
      <c r="B25" s="693" t="s">
        <v>556</v>
      </c>
      <c r="C25" s="705">
        <v>1.0044999999999999</v>
      </c>
      <c r="D25" s="705">
        <v>1.0044999999999999</v>
      </c>
      <c r="E25" s="705">
        <v>1.0044999999999999</v>
      </c>
      <c r="F25" s="705">
        <v>1.0044999999999999</v>
      </c>
      <c r="G25" s="705">
        <v>1.0044999999999999</v>
      </c>
      <c r="H25" s="706">
        <v>1.0044999999999999</v>
      </c>
      <c r="I25" s="682"/>
      <c r="J25" s="691"/>
      <c r="K25" s="691"/>
    </row>
    <row r="26" spans="1:11" x14ac:dyDescent="0.25">
      <c r="A26" s="704"/>
      <c r="B26" s="1257" t="s">
        <v>557</v>
      </c>
      <c r="C26" s="1258"/>
      <c r="D26" s="1258"/>
      <c r="E26" s="1258"/>
      <c r="F26" s="1258"/>
      <c r="G26" s="1258"/>
      <c r="H26" s="1259"/>
      <c r="I26" s="682"/>
      <c r="J26" s="691"/>
      <c r="K26" s="691"/>
    </row>
    <row r="27" spans="1:11" ht="15.75" thickBot="1" x14ac:dyDescent="0.3">
      <c r="A27" s="707" t="s">
        <v>558</v>
      </c>
      <c r="B27" s="694" t="s">
        <v>559</v>
      </c>
      <c r="C27" s="708">
        <v>1.0311938449010327</v>
      </c>
      <c r="D27" s="708">
        <v>1.0334722071918832</v>
      </c>
      <c r="E27" s="708">
        <v>1.0419047247653983</v>
      </c>
      <c r="F27" s="708">
        <v>1.0314389653287599</v>
      </c>
      <c r="G27" s="708">
        <v>1.0215560720578043</v>
      </c>
      <c r="H27" s="709">
        <v>1.0319700401553762</v>
      </c>
      <c r="I27" s="682"/>
      <c r="J27" s="691"/>
      <c r="K27" s="691"/>
    </row>
    <row r="29" spans="1:11" x14ac:dyDescent="0.25">
      <c r="A29" s="689" t="s">
        <v>82</v>
      </c>
      <c r="B29" s="682"/>
      <c r="C29" s="682"/>
      <c r="D29" s="682"/>
      <c r="E29" s="682"/>
      <c r="F29" s="682"/>
      <c r="G29" s="682"/>
      <c r="H29" s="682"/>
      <c r="I29" s="682"/>
      <c r="J29" s="682"/>
      <c r="K29" s="682"/>
    </row>
    <row r="30" spans="1:11" x14ac:dyDescent="0.25">
      <c r="A30" s="682"/>
      <c r="B30" s="682"/>
      <c r="C30" s="682"/>
      <c r="D30" s="682"/>
      <c r="E30" s="682"/>
      <c r="F30" s="682"/>
      <c r="G30" s="682"/>
      <c r="H30" s="682"/>
      <c r="I30" s="682"/>
      <c r="J30" s="682"/>
      <c r="K30" s="682"/>
    </row>
    <row r="32" spans="1:11" x14ac:dyDescent="0.25">
      <c r="A32" s="688" t="s">
        <v>538</v>
      </c>
      <c r="B32" s="1251" t="s">
        <v>560</v>
      </c>
      <c r="C32" s="1251"/>
      <c r="D32" s="1251"/>
      <c r="E32" s="1251"/>
      <c r="F32" s="1251"/>
      <c r="G32" s="1251"/>
      <c r="H32" s="1251"/>
      <c r="I32" s="682"/>
      <c r="J32" s="682"/>
      <c r="K32" s="682"/>
    </row>
    <row r="33" spans="1:8" x14ac:dyDescent="0.25">
      <c r="A33" s="690"/>
      <c r="B33" s="1251"/>
      <c r="C33" s="1251"/>
      <c r="D33" s="1251"/>
      <c r="E33" s="1251"/>
      <c r="F33" s="1251"/>
      <c r="G33" s="1251"/>
      <c r="H33" s="1251"/>
    </row>
    <row r="34" spans="1:8" x14ac:dyDescent="0.25">
      <c r="A34" s="690"/>
      <c r="B34" s="1251"/>
      <c r="C34" s="1251"/>
      <c r="D34" s="1251"/>
      <c r="E34" s="1251"/>
      <c r="F34" s="1251"/>
      <c r="G34" s="1251"/>
      <c r="H34" s="1251"/>
    </row>
    <row r="35" spans="1:8" x14ac:dyDescent="0.25">
      <c r="A35" s="690"/>
      <c r="B35" s="687"/>
      <c r="C35" s="687"/>
      <c r="D35" s="687"/>
      <c r="E35" s="687"/>
      <c r="F35" s="687"/>
      <c r="G35" s="687"/>
      <c r="H35" s="687"/>
    </row>
    <row r="36" spans="1:8" x14ac:dyDescent="0.25">
      <c r="A36" s="690"/>
      <c r="B36" s="1251" t="s">
        <v>561</v>
      </c>
      <c r="C36" s="1251"/>
      <c r="D36" s="1251"/>
      <c r="E36" s="1251"/>
      <c r="F36" s="1251"/>
      <c r="G36" s="1251"/>
      <c r="H36" s="1251"/>
    </row>
    <row r="37" spans="1:8" x14ac:dyDescent="0.25">
      <c r="A37" s="690"/>
      <c r="B37" s="1251"/>
      <c r="C37" s="1251"/>
      <c r="D37" s="1251"/>
      <c r="E37" s="1251"/>
      <c r="F37" s="1251"/>
      <c r="G37" s="1251"/>
      <c r="H37" s="1251"/>
    </row>
    <row r="38" spans="1:8" x14ac:dyDescent="0.25">
      <c r="A38" s="690"/>
      <c r="B38" s="1251"/>
      <c r="C38" s="1251"/>
      <c r="D38" s="1251"/>
      <c r="E38" s="1251"/>
      <c r="F38" s="1251"/>
      <c r="G38" s="1251"/>
      <c r="H38" s="1251"/>
    </row>
    <row r="39" spans="1:8" x14ac:dyDescent="0.25">
      <c r="A39" s="690"/>
      <c r="B39" s="1251"/>
      <c r="C39" s="1251"/>
      <c r="D39" s="1251"/>
      <c r="E39" s="1251"/>
      <c r="F39" s="1251"/>
      <c r="G39" s="1251"/>
      <c r="H39" s="1251"/>
    </row>
    <row r="40" spans="1:8" x14ac:dyDescent="0.25">
      <c r="A40" s="690"/>
      <c r="B40" s="687"/>
      <c r="C40" s="687"/>
      <c r="D40" s="687"/>
      <c r="E40" s="687"/>
      <c r="F40" s="687"/>
      <c r="G40" s="687"/>
      <c r="H40" s="687"/>
    </row>
    <row r="41" spans="1:8" x14ac:dyDescent="0.25">
      <c r="A41" s="690"/>
      <c r="B41" s="687" t="s">
        <v>562</v>
      </c>
      <c r="C41" s="687"/>
      <c r="D41" s="687"/>
      <c r="E41" s="687"/>
      <c r="F41" s="687"/>
      <c r="G41" s="687"/>
      <c r="H41" s="687"/>
    </row>
    <row r="42" spans="1:8" x14ac:dyDescent="0.25">
      <c r="A42" s="690"/>
      <c r="B42" s="687"/>
      <c r="C42" s="687"/>
      <c r="D42" s="687"/>
      <c r="E42" s="687"/>
      <c r="F42" s="687"/>
      <c r="G42" s="687"/>
      <c r="H42" s="687"/>
    </row>
    <row r="43" spans="1:8" x14ac:dyDescent="0.25">
      <c r="A43" s="688" t="s">
        <v>540</v>
      </c>
      <c r="B43" s="1251" t="s">
        <v>563</v>
      </c>
      <c r="C43" s="1251"/>
      <c r="D43" s="1251"/>
      <c r="E43" s="1251"/>
      <c r="F43" s="1251"/>
      <c r="G43" s="1251"/>
      <c r="H43" s="1251"/>
    </row>
    <row r="44" spans="1:8" x14ac:dyDescent="0.25">
      <c r="A44" s="690"/>
      <c r="B44" s="1251"/>
      <c r="C44" s="1251"/>
      <c r="D44" s="1251"/>
      <c r="E44" s="1251"/>
      <c r="F44" s="1251"/>
      <c r="G44" s="1251"/>
      <c r="H44" s="1251"/>
    </row>
    <row r="45" spans="1:8" x14ac:dyDescent="0.25">
      <c r="A45" s="690"/>
      <c r="B45" s="1251"/>
      <c r="C45" s="1251"/>
      <c r="D45" s="1251"/>
      <c r="E45" s="1251"/>
      <c r="F45" s="1251"/>
      <c r="G45" s="1251"/>
      <c r="H45" s="1251"/>
    </row>
    <row r="46" spans="1:8" x14ac:dyDescent="0.25">
      <c r="A46" s="690"/>
      <c r="B46" s="687"/>
      <c r="C46" s="687"/>
      <c r="D46" s="687"/>
      <c r="E46" s="687"/>
      <c r="F46" s="687"/>
      <c r="G46" s="687"/>
      <c r="H46" s="687"/>
    </row>
    <row r="47" spans="1:8" x14ac:dyDescent="0.25">
      <c r="A47" s="690"/>
      <c r="B47" s="1251" t="s">
        <v>564</v>
      </c>
      <c r="C47" s="1251"/>
      <c r="D47" s="1251"/>
      <c r="E47" s="1251"/>
      <c r="F47" s="1251"/>
      <c r="G47" s="1251"/>
      <c r="H47" s="1251"/>
    </row>
    <row r="48" spans="1:8" x14ac:dyDescent="0.25">
      <c r="A48" s="690"/>
      <c r="B48" s="1251"/>
      <c r="C48" s="1251"/>
      <c r="D48" s="1251"/>
      <c r="E48" s="1251"/>
      <c r="F48" s="1251"/>
      <c r="G48" s="1251"/>
      <c r="H48" s="1251"/>
    </row>
    <row r="49" spans="1:8" x14ac:dyDescent="0.25">
      <c r="A49" s="690"/>
      <c r="B49" s="1251"/>
      <c r="C49" s="1251"/>
      <c r="D49" s="1251"/>
      <c r="E49" s="1251"/>
      <c r="F49" s="1251"/>
      <c r="G49" s="1251"/>
      <c r="H49" s="1251"/>
    </row>
    <row r="50" spans="1:8" x14ac:dyDescent="0.25">
      <c r="A50" s="690"/>
      <c r="B50" s="1251"/>
      <c r="C50" s="1251"/>
      <c r="D50" s="1251"/>
      <c r="E50" s="1251"/>
      <c r="F50" s="1251"/>
      <c r="G50" s="1251"/>
      <c r="H50" s="1251"/>
    </row>
    <row r="51" spans="1:8" x14ac:dyDescent="0.25">
      <c r="A51" s="690"/>
      <c r="B51" s="687"/>
      <c r="C51" s="687"/>
      <c r="D51" s="687"/>
      <c r="E51" s="687"/>
      <c r="F51" s="687"/>
      <c r="G51" s="687"/>
      <c r="H51" s="687"/>
    </row>
    <row r="52" spans="1:8" x14ac:dyDescent="0.25">
      <c r="A52" s="690"/>
      <c r="B52" s="1252" t="s">
        <v>562</v>
      </c>
      <c r="C52" s="1252"/>
      <c r="D52" s="1252"/>
      <c r="E52" s="1252"/>
      <c r="F52" s="1252"/>
      <c r="G52" s="1252"/>
      <c r="H52" s="1252"/>
    </row>
    <row r="53" spans="1:8" x14ac:dyDescent="0.25">
      <c r="A53" s="690"/>
      <c r="B53" s="687"/>
      <c r="C53" s="687"/>
      <c r="D53" s="687"/>
      <c r="E53" s="687"/>
      <c r="F53" s="687"/>
      <c r="G53" s="687"/>
      <c r="H53" s="687"/>
    </row>
    <row r="54" spans="1:8" x14ac:dyDescent="0.25">
      <c r="A54" s="690"/>
      <c r="B54" s="1251" t="s">
        <v>565</v>
      </c>
      <c r="C54" s="1251"/>
      <c r="D54" s="1251"/>
      <c r="E54" s="1251"/>
      <c r="F54" s="1251"/>
      <c r="G54" s="1251"/>
      <c r="H54" s="1251"/>
    </row>
    <row r="55" spans="1:8" x14ac:dyDescent="0.25">
      <c r="A55" s="690"/>
      <c r="B55" s="1251"/>
      <c r="C55" s="1251"/>
      <c r="D55" s="1251"/>
      <c r="E55" s="1251"/>
      <c r="F55" s="1251"/>
      <c r="G55" s="1251"/>
      <c r="H55" s="1251"/>
    </row>
    <row r="56" spans="1:8" x14ac:dyDescent="0.25">
      <c r="A56" s="690"/>
      <c r="B56" s="687"/>
      <c r="C56" s="687"/>
      <c r="D56" s="687"/>
      <c r="E56" s="687"/>
      <c r="F56" s="687"/>
      <c r="G56" s="687"/>
      <c r="H56" s="687"/>
    </row>
    <row r="57" spans="1:8" x14ac:dyDescent="0.25">
      <c r="A57" s="688" t="s">
        <v>542</v>
      </c>
      <c r="B57" s="1251" t="s">
        <v>566</v>
      </c>
      <c r="C57" s="1251"/>
      <c r="D57" s="1251"/>
      <c r="E57" s="1251"/>
      <c r="F57" s="1251"/>
      <c r="G57" s="1251"/>
      <c r="H57" s="1251"/>
    </row>
    <row r="58" spans="1:8" x14ac:dyDescent="0.25">
      <c r="A58" s="690"/>
      <c r="B58" s="1251"/>
      <c r="C58" s="1251"/>
      <c r="D58" s="1251"/>
      <c r="E58" s="1251"/>
      <c r="F58" s="1251"/>
      <c r="G58" s="1251"/>
      <c r="H58" s="1251"/>
    </row>
    <row r="59" spans="1:8" x14ac:dyDescent="0.25">
      <c r="A59" s="690"/>
      <c r="B59" s="687"/>
      <c r="C59" s="687"/>
      <c r="D59" s="687"/>
      <c r="E59" s="687"/>
      <c r="F59" s="687"/>
      <c r="G59" s="687"/>
      <c r="H59" s="687"/>
    </row>
    <row r="60" spans="1:8" x14ac:dyDescent="0.25">
      <c r="A60" s="688" t="s">
        <v>546</v>
      </c>
      <c r="B60" s="1251" t="s">
        <v>567</v>
      </c>
      <c r="C60" s="1251"/>
      <c r="D60" s="1251"/>
      <c r="E60" s="1251"/>
      <c r="F60" s="1251"/>
      <c r="G60" s="1251"/>
      <c r="H60" s="1251"/>
    </row>
    <row r="61" spans="1:8" x14ac:dyDescent="0.25">
      <c r="A61" s="690"/>
      <c r="B61" s="687"/>
      <c r="C61" s="687"/>
      <c r="D61" s="687"/>
      <c r="E61" s="687"/>
      <c r="F61" s="687"/>
      <c r="G61" s="687"/>
      <c r="H61" s="687"/>
    </row>
    <row r="62" spans="1:8" x14ac:dyDescent="0.25">
      <c r="A62" s="688" t="s">
        <v>568</v>
      </c>
      <c r="B62" s="1252" t="s">
        <v>569</v>
      </c>
      <c r="C62" s="1252"/>
      <c r="D62" s="1252"/>
      <c r="E62" s="1252"/>
      <c r="F62" s="1252"/>
      <c r="G62" s="1252"/>
      <c r="H62" s="1252"/>
    </row>
    <row r="63" spans="1:8" x14ac:dyDescent="0.25">
      <c r="A63" s="690"/>
      <c r="B63" s="687"/>
      <c r="C63" s="687"/>
      <c r="D63" s="687"/>
      <c r="E63" s="687"/>
      <c r="F63" s="687"/>
      <c r="G63" s="687"/>
      <c r="H63" s="687"/>
    </row>
    <row r="64" spans="1:8" x14ac:dyDescent="0.25">
      <c r="A64" s="688" t="s">
        <v>555</v>
      </c>
      <c r="B64" s="1252" t="s">
        <v>570</v>
      </c>
      <c r="C64" s="1252"/>
      <c r="D64" s="1252"/>
      <c r="E64" s="1252"/>
      <c r="F64" s="1252"/>
      <c r="G64" s="1252"/>
      <c r="H64" s="1252"/>
    </row>
    <row r="65" spans="1:8" x14ac:dyDescent="0.25">
      <c r="A65" s="687"/>
      <c r="B65" s="687"/>
      <c r="C65" s="687"/>
      <c r="D65" s="687"/>
      <c r="E65" s="687"/>
      <c r="F65" s="687"/>
      <c r="G65" s="687"/>
      <c r="H65" s="687"/>
    </row>
    <row r="66" spans="1:8" x14ac:dyDescent="0.25">
      <c r="A66" s="687"/>
      <c r="B66" s="1251" t="s">
        <v>571</v>
      </c>
      <c r="C66" s="1251"/>
      <c r="D66" s="1251"/>
      <c r="E66" s="1251"/>
      <c r="F66" s="1251"/>
      <c r="G66" s="1251"/>
      <c r="H66" s="687"/>
    </row>
    <row r="67" spans="1:8" x14ac:dyDescent="0.25">
      <c r="A67" s="687"/>
      <c r="B67" s="1251"/>
      <c r="C67" s="1251"/>
      <c r="D67" s="1251"/>
      <c r="E67" s="1251"/>
      <c r="F67" s="1251"/>
      <c r="G67" s="1251"/>
      <c r="H67" s="687"/>
    </row>
    <row r="68" spans="1:8" x14ac:dyDescent="0.25">
      <c r="A68" s="687"/>
      <c r="B68" s="1251"/>
      <c r="C68" s="1251"/>
      <c r="D68" s="1251"/>
      <c r="E68" s="1251"/>
      <c r="F68" s="1251"/>
      <c r="G68" s="1251"/>
      <c r="H68" s="687"/>
    </row>
    <row r="69" spans="1:8" x14ac:dyDescent="0.25">
      <c r="A69" s="687"/>
      <c r="B69" s="687"/>
      <c r="C69" s="687"/>
      <c r="D69" s="687"/>
      <c r="E69" s="687"/>
      <c r="F69" s="687"/>
      <c r="G69" s="687"/>
      <c r="H69" s="687"/>
    </row>
    <row r="70" spans="1:8" x14ac:dyDescent="0.25">
      <c r="A70" s="682"/>
      <c r="B70" s="1252" t="s">
        <v>572</v>
      </c>
      <c r="C70" s="1253"/>
      <c r="D70" s="1253"/>
      <c r="E70" s="1253"/>
      <c r="F70" s="1253"/>
      <c r="G70" s="1253"/>
      <c r="H70" s="1253"/>
    </row>
    <row r="71" spans="1:8" x14ac:dyDescent="0.25">
      <c r="A71" s="682"/>
      <c r="B71" s="683" t="s">
        <v>573</v>
      </c>
      <c r="C71" s="682"/>
      <c r="D71" s="682"/>
      <c r="E71" s="682"/>
      <c r="F71" s="682"/>
      <c r="G71" s="682"/>
      <c r="H71" s="682"/>
    </row>
    <row r="72" spans="1:8" ht="15.75" thickBot="1" x14ac:dyDescent="0.3">
      <c r="A72" s="682"/>
      <c r="B72" s="682"/>
      <c r="C72" s="682"/>
      <c r="D72" s="682"/>
      <c r="E72" s="682"/>
      <c r="F72" s="682"/>
      <c r="G72" s="682"/>
      <c r="H72" s="682"/>
    </row>
    <row r="73" spans="1:8" ht="15.75" thickBot="1" x14ac:dyDescent="0.3">
      <c r="A73" s="712" t="s">
        <v>574</v>
      </c>
      <c r="B73" s="710"/>
      <c r="C73" s="711"/>
      <c r="D73" s="682"/>
      <c r="E73" s="682"/>
      <c r="F73" s="682"/>
      <c r="G73" s="682"/>
      <c r="H73" s="682"/>
    </row>
  </sheetData>
  <customSheetViews>
    <customSheetView guid="{FEE3C04B-CD27-4551-A1CF-8272225D231B}" topLeftCell="A10">
      <selection activeCell="B36" sqref="B36:H39"/>
      <pageMargins left="0.7" right="0.7" top="0.75" bottom="0.75" header="0.3" footer="0.3"/>
    </customSheetView>
    <customSheetView guid="{957A2981-C0FE-4A89-90AC-F40944F7258F}" topLeftCell="A10">
      <selection activeCell="B36" sqref="B36:H39"/>
      <pageMargins left="0.7" right="0.7" top="0.75" bottom="0.75" header="0.3" footer="0.3"/>
    </customSheetView>
    <customSheetView guid="{AE01795C-0F1A-4D22-B411-4CB1D681CFC8}" topLeftCell="A10">
      <selection activeCell="B36" sqref="B36:H39"/>
      <pageMargins left="0.7" right="0.7" top="0.75" bottom="0.75" header="0.3" footer="0.3"/>
    </customSheetView>
  </customSheetViews>
  <mergeCells count="21">
    <mergeCell ref="A9:H9"/>
    <mergeCell ref="A10:H10"/>
    <mergeCell ref="A11:H11"/>
    <mergeCell ref="A13:B14"/>
    <mergeCell ref="C13:G13"/>
    <mergeCell ref="H13:H14"/>
    <mergeCell ref="B15:H15"/>
    <mergeCell ref="B24:H24"/>
    <mergeCell ref="B26:H26"/>
    <mergeCell ref="B54:H55"/>
    <mergeCell ref="B36:H39"/>
    <mergeCell ref="B43:H45"/>
    <mergeCell ref="B47:H50"/>
    <mergeCell ref="B57:H58"/>
    <mergeCell ref="B60:H60"/>
    <mergeCell ref="B32:H34"/>
    <mergeCell ref="B70:H70"/>
    <mergeCell ref="B62:H62"/>
    <mergeCell ref="B64:H64"/>
    <mergeCell ref="B66:G68"/>
    <mergeCell ref="B52:H5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
  <sheetViews>
    <sheetView workbookViewId="0"/>
  </sheetViews>
  <sheetFormatPr defaultRowHeight="15" x14ac:dyDescent="0.25"/>
  <cols>
    <col min="3" max="3" width="44.7109375" customWidth="1"/>
    <col min="4" max="4" width="5" customWidth="1"/>
    <col min="5" max="11" width="14.42578125" bestFit="1" customWidth="1"/>
    <col min="12" max="12" width="16.42578125" bestFit="1" customWidth="1"/>
    <col min="13" max="13" width="17" bestFit="1" customWidth="1"/>
    <col min="14" max="14" width="19" customWidth="1"/>
    <col min="15" max="15" width="33.7109375" customWidth="1"/>
    <col min="16" max="16" width="12.7109375" customWidth="1"/>
    <col min="17" max="17" width="36.42578125" customWidth="1"/>
  </cols>
  <sheetData>
    <row r="2" spans="1:19" x14ac:dyDescent="0.25">
      <c r="A2" s="714"/>
      <c r="B2" s="714"/>
      <c r="C2" s="714"/>
      <c r="D2" s="714"/>
      <c r="E2" s="714"/>
      <c r="F2" s="714"/>
      <c r="G2" s="714"/>
      <c r="H2" s="714"/>
      <c r="I2" s="714"/>
      <c r="J2" s="714"/>
      <c r="K2" s="714"/>
      <c r="L2" s="714"/>
      <c r="M2" s="714"/>
      <c r="N2" s="714"/>
      <c r="O2" s="714"/>
      <c r="P2" s="718" t="s">
        <v>0</v>
      </c>
      <c r="Q2" s="736">
        <v>0</v>
      </c>
      <c r="R2" s="714"/>
      <c r="S2" s="714"/>
    </row>
    <row r="3" spans="1:19" x14ac:dyDescent="0.25">
      <c r="A3" s="714"/>
      <c r="B3" s="714"/>
      <c r="C3" s="714"/>
      <c r="D3" s="714"/>
      <c r="E3" s="714"/>
      <c r="F3" s="714"/>
      <c r="G3" s="714"/>
      <c r="H3" s="714"/>
      <c r="I3" s="714"/>
      <c r="J3" s="714"/>
      <c r="K3" s="714"/>
      <c r="L3" s="714"/>
      <c r="M3" s="714"/>
      <c r="N3" s="714"/>
      <c r="O3" s="714"/>
      <c r="P3" s="718" t="s">
        <v>1</v>
      </c>
      <c r="Q3" s="715"/>
      <c r="R3" s="714"/>
      <c r="S3" s="714"/>
    </row>
    <row r="4" spans="1:19" x14ac:dyDescent="0.25">
      <c r="A4" s="714"/>
      <c r="B4" s="714"/>
      <c r="C4" s="714"/>
      <c r="D4" s="714"/>
      <c r="E4" s="714"/>
      <c r="F4" s="714"/>
      <c r="G4" s="714"/>
      <c r="H4" s="714"/>
      <c r="I4" s="714"/>
      <c r="J4" s="714"/>
      <c r="K4" s="714"/>
      <c r="L4" s="714"/>
      <c r="M4" s="714"/>
      <c r="N4" s="714"/>
      <c r="O4" s="714"/>
      <c r="P4" s="718" t="s">
        <v>2</v>
      </c>
      <c r="Q4" s="715"/>
      <c r="R4" s="714"/>
      <c r="S4" s="714"/>
    </row>
    <row r="5" spans="1:19" x14ac:dyDescent="0.25">
      <c r="A5" s="714"/>
      <c r="B5" s="714"/>
      <c r="C5" s="714"/>
      <c r="D5" s="714"/>
      <c r="E5" s="714"/>
      <c r="F5" s="714"/>
      <c r="G5" s="714"/>
      <c r="H5" s="714"/>
      <c r="I5" s="714"/>
      <c r="J5" s="714"/>
      <c r="K5" s="714"/>
      <c r="L5" s="714"/>
      <c r="M5" s="714"/>
      <c r="N5" s="714"/>
      <c r="O5" s="714"/>
      <c r="P5" s="718" t="s">
        <v>3</v>
      </c>
      <c r="Q5" s="715"/>
      <c r="R5" s="714"/>
      <c r="S5" s="714"/>
    </row>
    <row r="6" spans="1:19" x14ac:dyDescent="0.25">
      <c r="A6" s="714"/>
      <c r="B6" s="714"/>
      <c r="C6" s="714"/>
      <c r="D6" s="714"/>
      <c r="E6" s="714"/>
      <c r="F6" s="714"/>
      <c r="G6" s="714"/>
      <c r="H6" s="714"/>
      <c r="I6" s="714"/>
      <c r="J6" s="714"/>
      <c r="K6" s="714"/>
      <c r="L6" s="714"/>
      <c r="M6" s="714"/>
      <c r="N6" s="714"/>
      <c r="O6" s="714"/>
      <c r="P6" s="718" t="s">
        <v>4</v>
      </c>
      <c r="Q6" s="716"/>
      <c r="R6" s="714"/>
      <c r="S6" s="714"/>
    </row>
    <row r="7" spans="1:19" x14ac:dyDescent="0.25">
      <c r="A7" s="714"/>
      <c r="B7" s="714"/>
      <c r="C7" s="714"/>
      <c r="D7" s="714"/>
      <c r="E7" s="714"/>
      <c r="F7" s="714"/>
      <c r="G7" s="714"/>
      <c r="H7" s="714"/>
      <c r="I7" s="714"/>
      <c r="J7" s="714"/>
      <c r="K7" s="714"/>
      <c r="L7" s="714"/>
      <c r="M7" s="714"/>
      <c r="N7" s="714"/>
      <c r="O7" s="714"/>
      <c r="P7" s="718"/>
      <c r="Q7" s="736"/>
      <c r="R7" s="714"/>
      <c r="S7" s="714"/>
    </row>
    <row r="8" spans="1:19" x14ac:dyDescent="0.25">
      <c r="A8" s="714"/>
      <c r="B8" s="714"/>
      <c r="C8" s="714"/>
      <c r="D8" s="714"/>
      <c r="E8" s="714"/>
      <c r="F8" s="714"/>
      <c r="G8" s="714"/>
      <c r="H8" s="714"/>
      <c r="I8" s="714"/>
      <c r="J8" s="714"/>
      <c r="K8" s="714"/>
      <c r="L8" s="714"/>
      <c r="M8" s="714"/>
      <c r="N8" s="714"/>
      <c r="O8" s="714"/>
      <c r="P8" s="718" t="s">
        <v>5</v>
      </c>
      <c r="Q8" s="716"/>
      <c r="R8" s="714"/>
      <c r="S8" s="714"/>
    </row>
    <row r="9" spans="1:19" ht="18" x14ac:dyDescent="0.25">
      <c r="A9" s="1120" t="s">
        <v>575</v>
      </c>
      <c r="B9" s="1274"/>
      <c r="C9" s="1274"/>
      <c r="D9" s="1274"/>
      <c r="E9" s="1274"/>
      <c r="F9" s="1274"/>
      <c r="G9" s="1274"/>
      <c r="H9" s="1274"/>
      <c r="I9" s="1274"/>
      <c r="J9" s="1274"/>
      <c r="K9" s="1274"/>
      <c r="L9" s="1274"/>
      <c r="M9" s="1274"/>
      <c r="N9" s="1274"/>
      <c r="O9" s="1274"/>
      <c r="P9" s="1274"/>
      <c r="Q9" s="1274"/>
      <c r="R9" s="1274"/>
      <c r="S9" s="1274"/>
    </row>
    <row r="10" spans="1:19" ht="18" x14ac:dyDescent="0.25">
      <c r="A10" s="1120" t="s">
        <v>576</v>
      </c>
      <c r="B10" s="1193"/>
      <c r="C10" s="1193"/>
      <c r="D10" s="1193"/>
      <c r="E10" s="1193"/>
      <c r="F10" s="1193"/>
      <c r="G10" s="1193"/>
      <c r="H10" s="1193"/>
      <c r="I10" s="1193"/>
      <c r="J10" s="1193"/>
      <c r="K10" s="1193"/>
      <c r="L10" s="1193"/>
      <c r="M10" s="1193"/>
      <c r="N10" s="1193"/>
      <c r="O10" s="1193"/>
      <c r="P10" s="1193"/>
      <c r="Q10" s="1193"/>
      <c r="R10" s="1193"/>
      <c r="S10" s="1193"/>
    </row>
    <row r="12" spans="1:19" x14ac:dyDescent="0.25">
      <c r="A12" s="1067" t="s">
        <v>577</v>
      </c>
      <c r="B12" s="1067"/>
      <c r="C12" s="1067"/>
      <c r="D12" s="1067"/>
      <c r="E12" s="1067"/>
      <c r="F12" s="1067"/>
      <c r="G12" s="1067"/>
      <c r="H12" s="1067"/>
      <c r="I12" s="1067"/>
      <c r="J12" s="1067"/>
      <c r="K12" s="1067"/>
      <c r="L12" s="1067"/>
      <c r="M12" s="1067"/>
      <c r="N12" s="1067"/>
      <c r="O12" s="1067"/>
      <c r="P12" s="1067"/>
      <c r="Q12" s="1067"/>
      <c r="R12" s="737"/>
      <c r="S12" s="737"/>
    </row>
    <row r="13" spans="1:19" ht="15.75" thickBot="1" x14ac:dyDescent="0.3">
      <c r="A13" s="714"/>
      <c r="B13" s="714"/>
      <c r="C13" s="714"/>
      <c r="D13" s="714"/>
      <c r="E13" s="714"/>
      <c r="F13" s="714"/>
      <c r="G13" s="714"/>
      <c r="H13" s="714"/>
      <c r="I13" s="714"/>
      <c r="J13" s="714"/>
      <c r="K13" s="714"/>
      <c r="L13" s="714"/>
      <c r="M13" s="714"/>
      <c r="N13" s="714"/>
      <c r="O13" s="714"/>
      <c r="P13" s="714"/>
      <c r="Q13" s="714"/>
      <c r="R13" s="714"/>
      <c r="S13" s="714"/>
    </row>
    <row r="14" spans="1:19" x14ac:dyDescent="0.25">
      <c r="A14" s="1275" t="s">
        <v>578</v>
      </c>
      <c r="B14" s="1276"/>
      <c r="C14" s="1276"/>
      <c r="D14" s="725"/>
      <c r="E14" s="728" t="s">
        <v>579</v>
      </c>
      <c r="F14" s="728" t="s">
        <v>579</v>
      </c>
      <c r="G14" s="728" t="s">
        <v>579</v>
      </c>
      <c r="H14" s="728" t="s">
        <v>579</v>
      </c>
      <c r="I14" s="728" t="s">
        <v>579</v>
      </c>
      <c r="J14" s="728" t="s">
        <v>579</v>
      </c>
      <c r="K14" s="728" t="s">
        <v>579</v>
      </c>
      <c r="L14" s="728" t="s">
        <v>580</v>
      </c>
      <c r="M14" s="1282" t="s">
        <v>581</v>
      </c>
      <c r="N14" s="1284" t="s">
        <v>582</v>
      </c>
      <c r="O14" s="1279" t="s">
        <v>583</v>
      </c>
      <c r="P14" s="1284" t="s">
        <v>584</v>
      </c>
      <c r="Q14" s="1279" t="s">
        <v>585</v>
      </c>
      <c r="R14" s="714"/>
      <c r="S14" s="714"/>
    </row>
    <row r="15" spans="1:19" x14ac:dyDescent="0.25">
      <c r="A15" s="1277"/>
      <c r="B15" s="1278"/>
      <c r="C15" s="1278"/>
      <c r="D15" s="726"/>
      <c r="E15" s="729" t="s">
        <v>586</v>
      </c>
      <c r="F15" s="729" t="s">
        <v>586</v>
      </c>
      <c r="G15" s="729" t="s">
        <v>586</v>
      </c>
      <c r="H15" s="729" t="s">
        <v>586</v>
      </c>
      <c r="I15" s="729" t="s">
        <v>586</v>
      </c>
      <c r="J15" s="729" t="s">
        <v>586</v>
      </c>
      <c r="K15" s="729" t="s">
        <v>586</v>
      </c>
      <c r="L15" s="729" t="s">
        <v>587</v>
      </c>
      <c r="M15" s="1283"/>
      <c r="N15" s="1285"/>
      <c r="O15" s="1287"/>
      <c r="P15" s="1285"/>
      <c r="Q15" s="1280"/>
      <c r="R15" s="714"/>
      <c r="S15" s="714"/>
    </row>
    <row r="16" spans="1:19" x14ac:dyDescent="0.25">
      <c r="A16" s="1277"/>
      <c r="B16" s="1278"/>
      <c r="C16" s="1278"/>
      <c r="D16" s="726"/>
      <c r="E16" s="730">
        <v>2009</v>
      </c>
      <c r="F16" s="730">
        <v>2010</v>
      </c>
      <c r="G16" s="730">
        <v>2011</v>
      </c>
      <c r="H16" s="730">
        <v>2012</v>
      </c>
      <c r="I16" s="730">
        <v>2013</v>
      </c>
      <c r="J16" s="730">
        <v>2014</v>
      </c>
      <c r="K16" s="730">
        <v>2015</v>
      </c>
      <c r="L16" s="730" t="s">
        <v>588</v>
      </c>
      <c r="M16" s="740">
        <v>2016</v>
      </c>
      <c r="N16" s="1286"/>
      <c r="O16" s="1288"/>
      <c r="P16" s="1286"/>
      <c r="Q16" s="1281"/>
      <c r="R16" s="714"/>
      <c r="S16" s="714"/>
    </row>
    <row r="17" spans="1:17" x14ac:dyDescent="0.25">
      <c r="A17" s="1271" t="s">
        <v>589</v>
      </c>
      <c r="B17" s="1272"/>
      <c r="C17" s="1273"/>
      <c r="D17" s="719"/>
      <c r="E17" s="721">
        <v>34852.1005</v>
      </c>
      <c r="F17" s="722">
        <v>7944.71</v>
      </c>
      <c r="G17" s="722">
        <v>0</v>
      </c>
      <c r="H17" s="722">
        <v>0</v>
      </c>
      <c r="I17" s="722">
        <v>0</v>
      </c>
      <c r="J17" s="722">
        <v>3437.49</v>
      </c>
      <c r="K17" s="722">
        <v>5164</v>
      </c>
      <c r="L17" s="722">
        <v>3527.8300000000004</v>
      </c>
      <c r="M17" s="722">
        <v>0</v>
      </c>
      <c r="N17" s="731">
        <v>54926.130499999999</v>
      </c>
      <c r="O17" s="722">
        <v>565.37</v>
      </c>
      <c r="P17" s="731">
        <v>55491.500500000002</v>
      </c>
      <c r="Q17" s="722"/>
    </row>
    <row r="18" spans="1:17" x14ac:dyDescent="0.25">
      <c r="A18" s="1292" t="s">
        <v>590</v>
      </c>
      <c r="B18" s="1293"/>
      <c r="C18" s="1294"/>
      <c r="D18" s="719"/>
      <c r="E18" s="721">
        <v>0</v>
      </c>
      <c r="F18" s="722">
        <v>0</v>
      </c>
      <c r="G18" s="722">
        <v>0</v>
      </c>
      <c r="H18" s="722">
        <v>0</v>
      </c>
      <c r="I18" s="722">
        <v>0</v>
      </c>
      <c r="J18" s="722">
        <v>0</v>
      </c>
      <c r="K18" s="722">
        <v>0</v>
      </c>
      <c r="L18" s="722">
        <v>0</v>
      </c>
      <c r="M18" s="722">
        <v>0</v>
      </c>
      <c r="N18" s="731">
        <v>0</v>
      </c>
      <c r="O18" s="722">
        <v>0</v>
      </c>
      <c r="P18" s="731">
        <v>0</v>
      </c>
      <c r="Q18" s="722"/>
    </row>
    <row r="19" spans="1:17" x14ac:dyDescent="0.25">
      <c r="A19" s="1271" t="s">
        <v>591</v>
      </c>
      <c r="B19" s="1272"/>
      <c r="C19" s="1273"/>
      <c r="D19" s="719"/>
      <c r="E19" s="721">
        <v>31084.831000000002</v>
      </c>
      <c r="F19" s="722">
        <v>59666.76999999999</v>
      </c>
      <c r="G19" s="722">
        <v>57877.43</v>
      </c>
      <c r="H19" s="722">
        <v>16510</v>
      </c>
      <c r="I19" s="722">
        <v>0</v>
      </c>
      <c r="J19" s="722">
        <v>0</v>
      </c>
      <c r="K19" s="722">
        <v>10870.33</v>
      </c>
      <c r="L19" s="722">
        <v>11780.09</v>
      </c>
      <c r="M19" s="722">
        <v>0</v>
      </c>
      <c r="N19" s="731">
        <v>187789.45099999997</v>
      </c>
      <c r="O19" s="722">
        <v>1936.06</v>
      </c>
      <c r="P19" s="731">
        <v>189725.51099999997</v>
      </c>
      <c r="Q19" s="722"/>
    </row>
    <row r="20" spans="1:17" x14ac:dyDescent="0.25">
      <c r="A20" s="1295" t="s">
        <v>592</v>
      </c>
      <c r="B20" s="1296"/>
      <c r="C20" s="1297"/>
      <c r="D20" s="719"/>
      <c r="E20" s="721">
        <v>7160.3185000000012</v>
      </c>
      <c r="F20" s="722">
        <v>419.93</v>
      </c>
      <c r="G20" s="722">
        <v>0</v>
      </c>
      <c r="H20" s="722">
        <v>685.04</v>
      </c>
      <c r="I20" s="722">
        <v>0</v>
      </c>
      <c r="J20" s="722">
        <v>56.31</v>
      </c>
      <c r="K20" s="722">
        <v>1123.04</v>
      </c>
      <c r="L20" s="722">
        <v>657.66000000000008</v>
      </c>
      <c r="M20" s="722">
        <v>0</v>
      </c>
      <c r="N20" s="731">
        <v>10102.298500000001</v>
      </c>
      <c r="O20" s="722">
        <v>103.89</v>
      </c>
      <c r="P20" s="731">
        <v>10206.1885</v>
      </c>
      <c r="Q20" s="722"/>
    </row>
    <row r="21" spans="1:17" ht="29.25" customHeight="1" x14ac:dyDescent="0.25">
      <c r="A21" s="1292" t="s">
        <v>593</v>
      </c>
      <c r="B21" s="1293"/>
      <c r="C21" s="1294"/>
      <c r="D21" s="719"/>
      <c r="E21" s="721">
        <v>0</v>
      </c>
      <c r="F21" s="722">
        <v>0</v>
      </c>
      <c r="G21" s="722">
        <v>0</v>
      </c>
      <c r="H21" s="722">
        <v>0</v>
      </c>
      <c r="I21" s="722">
        <v>0</v>
      </c>
      <c r="J21" s="722">
        <v>0</v>
      </c>
      <c r="K21" s="722">
        <v>0</v>
      </c>
      <c r="L21" s="722">
        <v>0</v>
      </c>
      <c r="M21" s="722">
        <v>0</v>
      </c>
      <c r="N21" s="731">
        <v>0</v>
      </c>
      <c r="O21" s="722">
        <v>0</v>
      </c>
      <c r="P21" s="731">
        <v>0</v>
      </c>
      <c r="Q21" s="722"/>
    </row>
    <row r="22" spans="1:17" x14ac:dyDescent="0.25">
      <c r="A22" s="1298"/>
      <c r="B22" s="1299"/>
      <c r="C22" s="1300"/>
      <c r="D22" s="719"/>
      <c r="E22" s="722"/>
      <c r="F22" s="722"/>
      <c r="G22" s="722"/>
      <c r="H22" s="722"/>
      <c r="I22" s="722"/>
      <c r="J22" s="722"/>
      <c r="K22" s="722"/>
      <c r="L22" s="722"/>
      <c r="M22" s="722"/>
      <c r="N22" s="731">
        <v>0</v>
      </c>
      <c r="O22" s="722"/>
      <c r="P22" s="731">
        <v>0</v>
      </c>
      <c r="Q22" s="722"/>
    </row>
    <row r="23" spans="1:17" x14ac:dyDescent="0.25">
      <c r="A23" s="1301"/>
      <c r="B23" s="1302"/>
      <c r="C23" s="1303"/>
      <c r="D23" s="719"/>
      <c r="E23" s="722"/>
      <c r="F23" s="722"/>
      <c r="G23" s="722"/>
      <c r="H23" s="722"/>
      <c r="I23" s="722"/>
      <c r="J23" s="722"/>
      <c r="K23" s="722"/>
      <c r="L23" s="722"/>
      <c r="M23" s="722"/>
      <c r="N23" s="731">
        <v>0</v>
      </c>
      <c r="O23" s="722"/>
      <c r="P23" s="731">
        <v>0</v>
      </c>
      <c r="Q23" s="722"/>
    </row>
    <row r="24" spans="1:17" x14ac:dyDescent="0.25">
      <c r="A24" s="1301"/>
      <c r="B24" s="1302"/>
      <c r="C24" s="1303"/>
      <c r="D24" s="719"/>
      <c r="E24" s="722"/>
      <c r="F24" s="722"/>
      <c r="G24" s="722"/>
      <c r="H24" s="722"/>
      <c r="I24" s="722"/>
      <c r="J24" s="722"/>
      <c r="K24" s="722"/>
      <c r="L24" s="722"/>
      <c r="M24" s="722"/>
      <c r="N24" s="731">
        <v>0</v>
      </c>
      <c r="O24" s="722"/>
      <c r="P24" s="731">
        <v>0</v>
      </c>
      <c r="Q24" s="722"/>
    </row>
    <row r="25" spans="1:17" x14ac:dyDescent="0.25">
      <c r="A25" s="1298"/>
      <c r="B25" s="1299"/>
      <c r="C25" s="1300"/>
      <c r="D25" s="719"/>
      <c r="E25" s="722"/>
      <c r="F25" s="722"/>
      <c r="G25" s="722"/>
      <c r="H25" s="722"/>
      <c r="I25" s="722"/>
      <c r="J25" s="722"/>
      <c r="K25" s="722"/>
      <c r="L25" s="722"/>
      <c r="M25" s="722"/>
      <c r="N25" s="731">
        <v>0</v>
      </c>
      <c r="O25" s="722"/>
      <c r="P25" s="731">
        <v>0</v>
      </c>
      <c r="Q25" s="722"/>
    </row>
    <row r="26" spans="1:17" x14ac:dyDescent="0.25">
      <c r="A26" s="1304" t="s">
        <v>594</v>
      </c>
      <c r="B26" s="1305"/>
      <c r="C26" s="1306"/>
      <c r="D26" s="719"/>
      <c r="E26" s="722"/>
      <c r="F26" s="722"/>
      <c r="G26" s="722"/>
      <c r="H26" s="722"/>
      <c r="I26" s="722"/>
      <c r="J26" s="722"/>
      <c r="K26" s="722"/>
      <c r="L26" s="722"/>
      <c r="M26" s="722"/>
      <c r="N26" s="731">
        <v>0</v>
      </c>
      <c r="O26" s="722"/>
      <c r="P26" s="731">
        <v>0</v>
      </c>
      <c r="Q26" s="722"/>
    </row>
    <row r="27" spans="1:17" x14ac:dyDescent="0.25">
      <c r="A27" s="1304"/>
      <c r="B27" s="1305"/>
      <c r="C27" s="1306"/>
      <c r="D27" s="719"/>
      <c r="E27" s="722"/>
      <c r="F27" s="722"/>
      <c r="G27" s="722"/>
      <c r="H27" s="722"/>
      <c r="I27" s="722"/>
      <c r="J27" s="722"/>
      <c r="K27" s="722"/>
      <c r="L27" s="722"/>
      <c r="M27" s="722"/>
      <c r="N27" s="731">
        <v>0</v>
      </c>
      <c r="O27" s="722"/>
      <c r="P27" s="731">
        <v>0</v>
      </c>
      <c r="Q27" s="722"/>
    </row>
    <row r="28" spans="1:17" ht="15.75" thickBot="1" x14ac:dyDescent="0.3">
      <c r="A28" s="1307" t="s">
        <v>595</v>
      </c>
      <c r="B28" s="1308"/>
      <c r="C28" s="1309"/>
      <c r="D28" s="719"/>
      <c r="E28" s="723"/>
      <c r="F28" s="723"/>
      <c r="G28" s="723"/>
      <c r="H28" s="723"/>
      <c r="I28" s="723"/>
      <c r="J28" s="723"/>
      <c r="K28" s="723"/>
      <c r="L28" s="723"/>
      <c r="M28" s="723"/>
      <c r="N28" s="731">
        <v>0</v>
      </c>
      <c r="O28" s="732"/>
      <c r="P28" s="731">
        <v>0</v>
      </c>
      <c r="Q28" s="723"/>
    </row>
    <row r="29" spans="1:17" ht="16.5" thickTop="1" thickBot="1" x14ac:dyDescent="0.3">
      <c r="A29" s="1289" t="s">
        <v>80</v>
      </c>
      <c r="B29" s="1290"/>
      <c r="C29" s="1291"/>
      <c r="D29" s="727"/>
      <c r="E29" s="724">
        <v>73097.25</v>
      </c>
      <c r="F29" s="724">
        <v>68031.409999999989</v>
      </c>
      <c r="G29" s="724">
        <v>57877.43</v>
      </c>
      <c r="H29" s="724">
        <v>17195.04</v>
      </c>
      <c r="I29" s="724">
        <v>0</v>
      </c>
      <c r="J29" s="724">
        <v>3493.7999999999997</v>
      </c>
      <c r="K29" s="724">
        <v>17157.37</v>
      </c>
      <c r="L29" s="724">
        <v>15965.58</v>
      </c>
      <c r="M29" s="724">
        <v>0</v>
      </c>
      <c r="N29" s="724">
        <v>252817.87999999998</v>
      </c>
      <c r="O29" s="724">
        <v>2605.3199999999997</v>
      </c>
      <c r="P29" s="724">
        <v>255423.19999999995</v>
      </c>
      <c r="Q29" s="733"/>
    </row>
    <row r="31" spans="1:17" x14ac:dyDescent="0.25">
      <c r="A31" s="718"/>
      <c r="B31" s="718"/>
      <c r="C31" s="718"/>
      <c r="D31" s="717"/>
      <c r="E31" s="717"/>
      <c r="F31" s="714"/>
      <c r="G31" s="714"/>
      <c r="H31" s="714"/>
      <c r="I31" s="714"/>
      <c r="J31" s="714"/>
      <c r="K31" s="714"/>
      <c r="L31" s="714"/>
      <c r="M31" s="714"/>
      <c r="N31" s="714"/>
      <c r="O31" s="714"/>
      <c r="P31" s="714"/>
      <c r="Q31" s="714"/>
    </row>
    <row r="32" spans="1:17" x14ac:dyDescent="0.25">
      <c r="A32" s="718" t="s">
        <v>350</v>
      </c>
      <c r="B32" s="717"/>
      <c r="C32" s="717"/>
      <c r="D32" s="717"/>
      <c r="E32" s="717"/>
      <c r="F32" s="714"/>
      <c r="G32" s="714"/>
      <c r="H32" s="714"/>
      <c r="I32" s="714"/>
      <c r="J32" s="714"/>
      <c r="K32" s="714"/>
      <c r="L32" s="714"/>
      <c r="M32" s="714"/>
      <c r="N32" s="714"/>
      <c r="O32" s="714"/>
      <c r="P32" s="714"/>
      <c r="Q32" s="714"/>
    </row>
    <row r="33" spans="1:19" x14ac:dyDescent="0.25">
      <c r="A33" s="738">
        <v>1</v>
      </c>
      <c r="B33" s="1310" t="s">
        <v>596</v>
      </c>
      <c r="C33" s="1310"/>
      <c r="D33" s="1310"/>
      <c r="E33" s="1310"/>
      <c r="F33" s="1310"/>
      <c r="G33" s="1310"/>
      <c r="H33" s="1310"/>
      <c r="I33" s="1310"/>
      <c r="J33" s="1310"/>
      <c r="K33" s="1310"/>
      <c r="L33" s="1310"/>
      <c r="M33" s="1310"/>
      <c r="N33" s="1310"/>
      <c r="O33" s="1310"/>
      <c r="P33" s="1310"/>
      <c r="Q33" s="1310"/>
      <c r="R33" s="739"/>
      <c r="S33" s="739"/>
    </row>
    <row r="34" spans="1:19" x14ac:dyDescent="0.25">
      <c r="A34" s="738">
        <v>2</v>
      </c>
      <c r="B34" s="1310" t="s">
        <v>597</v>
      </c>
      <c r="C34" s="1310"/>
      <c r="D34" s="1310"/>
      <c r="E34" s="1310"/>
      <c r="F34" s="722"/>
      <c r="G34" s="714"/>
      <c r="H34" s="714"/>
      <c r="I34" s="714"/>
      <c r="J34" s="714"/>
      <c r="K34" s="714"/>
      <c r="L34" s="714"/>
      <c r="M34" s="714"/>
      <c r="N34" s="714"/>
      <c r="O34" s="714"/>
      <c r="P34" s="714"/>
      <c r="Q34" s="714"/>
      <c r="R34" s="714"/>
      <c r="S34" s="714"/>
    </row>
    <row r="35" spans="1:19" x14ac:dyDescent="0.25">
      <c r="A35" s="1314">
        <v>3</v>
      </c>
      <c r="B35" s="1068" t="s">
        <v>598</v>
      </c>
      <c r="C35" s="1068"/>
      <c r="D35" s="1068"/>
      <c r="E35" s="1068"/>
      <c r="F35" s="1068"/>
      <c r="G35" s="1068"/>
      <c r="H35" s="1068"/>
      <c r="I35" s="1068"/>
      <c r="J35" s="1068"/>
      <c r="K35" s="1068"/>
      <c r="L35" s="1068"/>
      <c r="M35" s="1068"/>
      <c r="N35" s="1068"/>
      <c r="O35" s="1068"/>
      <c r="P35" s="1068"/>
      <c r="Q35" s="1068"/>
      <c r="R35" s="714"/>
      <c r="S35" s="714"/>
    </row>
    <row r="36" spans="1:19" x14ac:dyDescent="0.25">
      <c r="A36" s="1314"/>
      <c r="B36" s="734"/>
      <c r="C36" s="734"/>
      <c r="D36" s="734"/>
      <c r="E36" s="734"/>
      <c r="F36" s="739"/>
      <c r="G36" s="714"/>
      <c r="H36" s="714"/>
      <c r="I36" s="714"/>
      <c r="J36" s="714"/>
      <c r="K36" s="714"/>
      <c r="L36" s="714"/>
      <c r="M36" s="714"/>
      <c r="N36" s="714"/>
      <c r="O36" s="714"/>
      <c r="P36" s="714"/>
      <c r="Q36" s="714"/>
      <c r="R36" s="714"/>
      <c r="S36" s="714"/>
    </row>
    <row r="37" spans="1:19" x14ac:dyDescent="0.25">
      <c r="A37" s="720"/>
      <c r="B37" s="717"/>
      <c r="C37" s="717"/>
      <c r="D37" s="717"/>
      <c r="E37" s="717"/>
      <c r="F37" s="714"/>
      <c r="G37" s="714"/>
      <c r="H37" s="714"/>
      <c r="I37" s="714"/>
      <c r="J37" s="714"/>
      <c r="K37" s="714"/>
      <c r="L37" s="714"/>
      <c r="M37" s="714"/>
      <c r="N37" s="714"/>
      <c r="O37" s="714"/>
      <c r="P37" s="714"/>
      <c r="Q37" s="714"/>
      <c r="R37" s="714"/>
      <c r="S37" s="714"/>
    </row>
    <row r="38" spans="1:19" x14ac:dyDescent="0.25">
      <c r="A38" s="1314"/>
      <c r="B38" s="1312"/>
      <c r="C38" s="1312"/>
      <c r="D38" s="1312"/>
      <c r="E38" s="1312"/>
      <c r="F38" s="739"/>
      <c r="G38" s="739"/>
      <c r="H38" s="739"/>
      <c r="I38" s="739"/>
      <c r="J38" s="739"/>
      <c r="K38" s="739"/>
      <c r="L38" s="739"/>
      <c r="M38" s="739"/>
      <c r="N38" s="739"/>
      <c r="O38" s="739"/>
      <c r="P38" s="739"/>
      <c r="Q38" s="739"/>
      <c r="R38" s="714"/>
      <c r="S38" s="714"/>
    </row>
    <row r="39" spans="1:19" ht="15.75" thickBot="1" x14ac:dyDescent="0.3">
      <c r="A39" s="1314"/>
      <c r="B39" s="1313"/>
      <c r="C39" s="1313"/>
      <c r="D39" s="1313"/>
      <c r="E39" s="1313"/>
      <c r="F39" s="739"/>
      <c r="G39" s="739"/>
      <c r="H39" s="739"/>
      <c r="I39" s="739"/>
      <c r="J39" s="739"/>
      <c r="K39" s="739"/>
      <c r="L39" s="739"/>
      <c r="M39" s="739"/>
      <c r="N39" s="739"/>
      <c r="O39" s="739"/>
      <c r="P39" s="739"/>
      <c r="Q39" s="739"/>
      <c r="R39" s="714"/>
      <c r="S39" s="714"/>
    </row>
    <row r="40" spans="1:19" ht="15.75" thickBot="1" x14ac:dyDescent="0.3">
      <c r="A40" s="720"/>
      <c r="B40" s="743" t="s">
        <v>574</v>
      </c>
      <c r="C40" s="741"/>
      <c r="D40" s="742"/>
      <c r="E40" s="735"/>
      <c r="F40" s="739"/>
      <c r="G40" s="739"/>
      <c r="H40" s="739"/>
      <c r="I40" s="739"/>
      <c r="J40" s="739"/>
      <c r="K40" s="739"/>
      <c r="L40" s="739"/>
      <c r="M40" s="739"/>
      <c r="N40" s="739"/>
      <c r="O40" s="739"/>
      <c r="P40" s="739"/>
      <c r="Q40" s="739"/>
      <c r="R40" s="714"/>
      <c r="S40" s="714"/>
    </row>
    <row r="41" spans="1:19" x14ac:dyDescent="0.25">
      <c r="A41" s="1311"/>
      <c r="B41" s="1312"/>
      <c r="C41" s="1312"/>
      <c r="D41" s="1312"/>
      <c r="E41" s="1312"/>
      <c r="F41" s="739"/>
      <c r="G41" s="739"/>
      <c r="H41" s="739"/>
      <c r="I41" s="739"/>
      <c r="J41" s="739"/>
      <c r="K41" s="739"/>
      <c r="L41" s="739"/>
      <c r="M41" s="739"/>
      <c r="N41" s="739"/>
      <c r="O41" s="739"/>
      <c r="P41" s="739"/>
      <c r="Q41" s="739"/>
      <c r="R41" s="714"/>
      <c r="S41" s="714"/>
    </row>
    <row r="42" spans="1:19" x14ac:dyDescent="0.25">
      <c r="A42" s="1311"/>
      <c r="B42" s="1312"/>
      <c r="C42" s="1312"/>
      <c r="D42" s="1312"/>
      <c r="E42" s="1312"/>
      <c r="F42" s="739"/>
      <c r="G42" s="739"/>
      <c r="H42" s="739"/>
      <c r="I42" s="739"/>
      <c r="J42" s="739"/>
      <c r="K42" s="739"/>
      <c r="L42" s="739"/>
      <c r="M42" s="739"/>
      <c r="N42" s="739"/>
      <c r="O42" s="739"/>
      <c r="P42" s="739"/>
      <c r="Q42" s="739"/>
      <c r="R42" s="714"/>
      <c r="S42" s="714"/>
    </row>
    <row r="43" spans="1:19" x14ac:dyDescent="0.25">
      <c r="A43" s="1311"/>
      <c r="B43" s="1313"/>
      <c r="C43" s="1313"/>
      <c r="D43" s="1313"/>
      <c r="E43" s="1313"/>
      <c r="F43" s="739"/>
      <c r="G43" s="739"/>
      <c r="H43" s="739"/>
      <c r="I43" s="739"/>
      <c r="J43" s="739"/>
      <c r="K43" s="739"/>
      <c r="L43" s="739"/>
      <c r="M43" s="739"/>
      <c r="N43" s="739"/>
      <c r="O43" s="739"/>
      <c r="P43" s="739"/>
      <c r="Q43" s="739"/>
      <c r="R43" s="714"/>
      <c r="S43" s="714"/>
    </row>
    <row r="44" spans="1:19" x14ac:dyDescent="0.25">
      <c r="A44" s="1311"/>
      <c r="B44" s="1313"/>
      <c r="C44" s="1313"/>
      <c r="D44" s="1313"/>
      <c r="E44" s="1313"/>
      <c r="F44" s="739"/>
      <c r="G44" s="739"/>
      <c r="H44" s="739"/>
      <c r="I44" s="739"/>
      <c r="J44" s="739"/>
      <c r="K44" s="739"/>
      <c r="L44" s="739"/>
      <c r="M44" s="739"/>
      <c r="N44" s="739"/>
      <c r="O44" s="739"/>
      <c r="P44" s="739"/>
      <c r="Q44" s="739"/>
      <c r="R44" s="714"/>
      <c r="S44" s="714"/>
    </row>
    <row r="45" spans="1:19" x14ac:dyDescent="0.25">
      <c r="A45" s="720"/>
      <c r="B45" s="717"/>
      <c r="C45" s="717"/>
      <c r="D45" s="717"/>
      <c r="E45" s="717"/>
      <c r="F45" s="714"/>
      <c r="G45" s="714"/>
      <c r="H45" s="714"/>
      <c r="I45" s="714"/>
      <c r="J45" s="714"/>
      <c r="K45" s="714"/>
      <c r="L45" s="714"/>
      <c r="M45" s="714"/>
      <c r="N45" s="714"/>
      <c r="O45" s="714"/>
      <c r="P45" s="714"/>
      <c r="Q45" s="714"/>
      <c r="R45" s="714"/>
      <c r="S45" s="714"/>
    </row>
    <row r="46" spans="1:19" x14ac:dyDescent="0.25">
      <c r="A46" s="1314"/>
      <c r="B46" s="1312"/>
      <c r="C46" s="1312"/>
      <c r="D46" s="1312"/>
      <c r="E46" s="1312"/>
      <c r="F46" s="739"/>
      <c r="G46" s="739"/>
      <c r="H46" s="739"/>
      <c r="I46" s="739"/>
      <c r="J46" s="739"/>
      <c r="K46" s="739"/>
      <c r="L46" s="739"/>
      <c r="M46" s="739"/>
      <c r="N46" s="739"/>
      <c r="O46" s="739"/>
      <c r="P46" s="739"/>
      <c r="Q46" s="739"/>
      <c r="R46" s="714"/>
      <c r="S46" s="714"/>
    </row>
    <row r="47" spans="1:19" x14ac:dyDescent="0.25">
      <c r="A47" s="1314"/>
      <c r="B47" s="1312"/>
      <c r="C47" s="1312"/>
      <c r="D47" s="1312"/>
      <c r="E47" s="1312"/>
      <c r="F47" s="739"/>
      <c r="G47" s="739"/>
      <c r="H47" s="739"/>
      <c r="I47" s="739"/>
      <c r="J47" s="739"/>
      <c r="K47" s="739"/>
      <c r="L47" s="739"/>
      <c r="M47" s="739"/>
      <c r="N47" s="739"/>
      <c r="O47" s="739"/>
      <c r="P47" s="739"/>
      <c r="Q47" s="739"/>
      <c r="R47" s="714"/>
      <c r="S47" s="714"/>
    </row>
  </sheetData>
  <customSheetViews>
    <customSheetView guid="{FEE3C04B-CD27-4551-A1CF-8272225D231B}">
      <pageMargins left="0.7" right="0.7" top="0.75" bottom="0.75" header="0.3" footer="0.3"/>
    </customSheetView>
    <customSheetView guid="{957A2981-C0FE-4A89-90AC-F40944F7258F}">
      <pageMargins left="0.7" right="0.7" top="0.75" bottom="0.75" header="0.3" footer="0.3"/>
    </customSheetView>
    <customSheetView guid="{AE01795C-0F1A-4D22-B411-4CB1D681CFC8}">
      <pageMargins left="0.7" right="0.7" top="0.75" bottom="0.75" header="0.3" footer="0.3"/>
    </customSheetView>
  </customSheetViews>
  <mergeCells count="32">
    <mergeCell ref="B33:Q33"/>
    <mergeCell ref="A41:A44"/>
    <mergeCell ref="B41:E44"/>
    <mergeCell ref="A46:A47"/>
    <mergeCell ref="B46:E47"/>
    <mergeCell ref="B34:E34"/>
    <mergeCell ref="A35:A36"/>
    <mergeCell ref="A38:A39"/>
    <mergeCell ref="B38:E39"/>
    <mergeCell ref="B35:Q35"/>
    <mergeCell ref="A29:C29"/>
    <mergeCell ref="A18:C18"/>
    <mergeCell ref="A19:C19"/>
    <mergeCell ref="A20:C20"/>
    <mergeCell ref="A21:C21"/>
    <mergeCell ref="A22:C22"/>
    <mergeCell ref="A23:C23"/>
    <mergeCell ref="A24:C24"/>
    <mergeCell ref="A25:C25"/>
    <mergeCell ref="A26:C26"/>
    <mergeCell ref="A27:C27"/>
    <mergeCell ref="A28:C28"/>
    <mergeCell ref="A17:C17"/>
    <mergeCell ref="A9:S9"/>
    <mergeCell ref="A10:S10"/>
    <mergeCell ref="A14:C16"/>
    <mergeCell ref="Q14:Q16"/>
    <mergeCell ref="M14:M15"/>
    <mergeCell ref="N14:N16"/>
    <mergeCell ref="O14:O16"/>
    <mergeCell ref="P14:P16"/>
    <mergeCell ref="A12:Q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H4" workbookViewId="0">
      <selection activeCell="S23" sqref="S23"/>
    </sheetView>
  </sheetViews>
  <sheetFormatPr defaultRowHeight="15" x14ac:dyDescent="0.25"/>
  <cols>
    <col min="1" max="1" width="24.5703125" bestFit="1" customWidth="1"/>
    <col min="2" max="2" width="23.140625" bestFit="1" customWidth="1"/>
    <col min="3" max="4" width="7.7109375" bestFit="1" customWidth="1"/>
    <col min="5" max="5" width="8.5703125" bestFit="1" customWidth="1"/>
    <col min="6" max="6" width="12.28515625" bestFit="1" customWidth="1"/>
    <col min="7" max="7" width="10.28515625" bestFit="1" customWidth="1"/>
    <col min="8" max="8" width="11.140625" customWidth="1"/>
    <col min="10" max="10" width="9.7109375" bestFit="1" customWidth="1"/>
    <col min="11" max="11" width="20.42578125" customWidth="1"/>
    <col min="13" max="13" width="24.28515625" customWidth="1"/>
    <col min="14" max="14" width="11.85546875" customWidth="1"/>
    <col min="15" max="15" width="12.7109375" bestFit="1" customWidth="1"/>
    <col min="16" max="16" width="10.28515625" bestFit="1" customWidth="1"/>
  </cols>
  <sheetData>
    <row r="1" spans="1:16" x14ac:dyDescent="0.25">
      <c r="A1" s="749"/>
      <c r="B1" s="749"/>
      <c r="C1" s="749"/>
      <c r="D1" s="749"/>
      <c r="E1" s="749"/>
      <c r="F1" s="749"/>
      <c r="G1" s="749"/>
      <c r="H1" s="749"/>
      <c r="I1" s="749"/>
      <c r="J1" s="749"/>
      <c r="K1" s="749"/>
      <c r="L1" s="749"/>
      <c r="M1" s="749"/>
      <c r="N1" s="749"/>
      <c r="O1" s="750" t="s">
        <v>0</v>
      </c>
      <c r="P1" s="770">
        <v>0</v>
      </c>
    </row>
    <row r="2" spans="1:16" x14ac:dyDescent="0.25">
      <c r="A2" s="749"/>
      <c r="B2" s="749"/>
      <c r="C2" s="749"/>
      <c r="D2" s="749"/>
      <c r="E2" s="749"/>
      <c r="F2" s="749"/>
      <c r="G2" s="749"/>
      <c r="H2" s="749"/>
      <c r="I2" s="749"/>
      <c r="J2" s="749"/>
      <c r="K2" s="749"/>
      <c r="L2" s="749"/>
      <c r="M2" s="749"/>
      <c r="N2" s="749"/>
      <c r="O2" s="750" t="s">
        <v>1</v>
      </c>
      <c r="P2" s="752"/>
    </row>
    <row r="3" spans="1:16" x14ac:dyDescent="0.25">
      <c r="A3" s="749"/>
      <c r="B3" s="749"/>
      <c r="C3" s="749"/>
      <c r="D3" s="749"/>
      <c r="E3" s="749"/>
      <c r="F3" s="749"/>
      <c r="G3" s="749"/>
      <c r="H3" s="749"/>
      <c r="I3" s="749"/>
      <c r="J3" s="749"/>
      <c r="K3" s="749"/>
      <c r="L3" s="749"/>
      <c r="M3" s="749"/>
      <c r="N3" s="749"/>
      <c r="O3" s="750" t="s">
        <v>2</v>
      </c>
      <c r="P3" s="752"/>
    </row>
    <row r="4" spans="1:16" x14ac:dyDescent="0.25">
      <c r="A4" s="749"/>
      <c r="B4" s="749"/>
      <c r="C4" s="749"/>
      <c r="D4" s="749"/>
      <c r="E4" s="749"/>
      <c r="F4" s="749"/>
      <c r="G4" s="749"/>
      <c r="H4" s="749"/>
      <c r="I4" s="749"/>
      <c r="J4" s="749"/>
      <c r="K4" s="749"/>
      <c r="L4" s="749"/>
      <c r="M4" s="749"/>
      <c r="N4" s="749"/>
      <c r="O4" s="750" t="s">
        <v>3</v>
      </c>
      <c r="P4" s="752"/>
    </row>
    <row r="5" spans="1:16" x14ac:dyDescent="0.25">
      <c r="A5" s="749"/>
      <c r="B5" s="749"/>
      <c r="C5" s="749"/>
      <c r="D5" s="749"/>
      <c r="E5" s="749"/>
      <c r="F5" s="749"/>
      <c r="G5" s="749"/>
      <c r="H5" s="749"/>
      <c r="I5" s="749"/>
      <c r="J5" s="749"/>
      <c r="K5" s="749"/>
      <c r="L5" s="749"/>
      <c r="M5" s="749"/>
      <c r="N5" s="749"/>
      <c r="O5" s="750" t="s">
        <v>4</v>
      </c>
      <c r="P5" s="753"/>
    </row>
    <row r="6" spans="1:16" x14ac:dyDescent="0.25">
      <c r="A6" s="749"/>
      <c r="B6" s="749"/>
      <c r="C6" s="749"/>
      <c r="D6" s="749"/>
      <c r="E6" s="749"/>
      <c r="F6" s="749"/>
      <c r="G6" s="749"/>
      <c r="H6" s="749"/>
      <c r="I6" s="749"/>
      <c r="J6" s="749"/>
      <c r="K6" s="749"/>
      <c r="L6" s="749"/>
      <c r="M6" s="749"/>
      <c r="N6" s="749"/>
      <c r="O6" s="750"/>
      <c r="P6" s="751"/>
    </row>
    <row r="7" spans="1:16" x14ac:dyDescent="0.25">
      <c r="A7" s="754"/>
      <c r="B7" s="749"/>
      <c r="C7" s="749"/>
      <c r="D7" s="749"/>
      <c r="E7" s="749"/>
      <c r="F7" s="749"/>
      <c r="G7" s="749"/>
      <c r="H7" s="749"/>
      <c r="I7" s="749"/>
      <c r="J7" s="749"/>
      <c r="K7" s="749"/>
      <c r="L7" s="749"/>
      <c r="M7" s="749"/>
      <c r="N7" s="749"/>
      <c r="O7" s="750" t="s">
        <v>5</v>
      </c>
      <c r="P7" s="753"/>
    </row>
    <row r="9" spans="1:16" ht="18" x14ac:dyDescent="0.25">
      <c r="A9" s="1316" t="s">
        <v>599</v>
      </c>
      <c r="B9" s="1316"/>
      <c r="C9" s="1316"/>
      <c r="D9" s="1316"/>
      <c r="E9" s="1316"/>
      <c r="F9" s="1316"/>
      <c r="G9" s="1316"/>
      <c r="H9" s="1316"/>
      <c r="I9" s="1316"/>
      <c r="J9" s="1316"/>
      <c r="K9" s="1316"/>
      <c r="L9" s="1316"/>
      <c r="M9" s="1316"/>
      <c r="N9" s="1316"/>
      <c r="O9" s="1316"/>
      <c r="P9" s="1316"/>
    </row>
    <row r="10" spans="1:16" ht="18" x14ac:dyDescent="0.25">
      <c r="A10" s="1316" t="s">
        <v>600</v>
      </c>
      <c r="B10" s="1316"/>
      <c r="C10" s="1316"/>
      <c r="D10" s="1316"/>
      <c r="E10" s="1316"/>
      <c r="F10" s="1316"/>
      <c r="G10" s="1316"/>
      <c r="H10" s="1316"/>
      <c r="I10" s="1316"/>
      <c r="J10" s="1316"/>
      <c r="K10" s="1316"/>
      <c r="L10" s="1316"/>
      <c r="M10" s="1316"/>
      <c r="N10" s="1316"/>
      <c r="O10" s="1316"/>
      <c r="P10" s="1316"/>
    </row>
    <row r="11" spans="1:16" ht="15.75" thickBot="1" x14ac:dyDescent="0.3">
      <c r="A11" s="749"/>
      <c r="B11" s="749"/>
      <c r="C11" s="749"/>
      <c r="D11" s="749"/>
      <c r="E11" s="749"/>
      <c r="F11" s="749"/>
      <c r="G11" s="749"/>
      <c r="H11" s="749"/>
      <c r="I11" s="749"/>
      <c r="J11" s="749"/>
      <c r="K11" s="749"/>
      <c r="L11" s="749"/>
      <c r="M11" s="749"/>
      <c r="N11" s="749"/>
      <c r="O11" s="749"/>
      <c r="P11" s="749"/>
    </row>
    <row r="12" spans="1:16" ht="33.75" customHeight="1" thickBot="1" x14ac:dyDescent="0.3">
      <c r="A12" s="756" t="s">
        <v>601</v>
      </c>
      <c r="B12" s="1317" t="s">
        <v>602</v>
      </c>
      <c r="C12" s="1321" t="s">
        <v>603</v>
      </c>
      <c r="D12" s="1322"/>
      <c r="E12" s="1323"/>
      <c r="F12" s="1319" t="s">
        <v>604</v>
      </c>
      <c r="G12" s="1320"/>
      <c r="H12" s="1328" t="s">
        <v>605</v>
      </c>
      <c r="I12" s="1319"/>
      <c r="J12" s="1320"/>
      <c r="K12" s="1317" t="s">
        <v>606</v>
      </c>
      <c r="L12" s="757"/>
      <c r="M12" s="1317" t="s">
        <v>607</v>
      </c>
      <c r="N12" s="1317" t="s">
        <v>608</v>
      </c>
      <c r="O12" s="1317" t="s">
        <v>80</v>
      </c>
      <c r="P12" s="1324" t="s">
        <v>609</v>
      </c>
    </row>
    <row r="13" spans="1:16" ht="39" thickBot="1" x14ac:dyDescent="0.3">
      <c r="A13" s="758"/>
      <c r="B13" s="1318"/>
      <c r="C13" s="772" t="s">
        <v>610</v>
      </c>
      <c r="D13" s="772" t="s">
        <v>611</v>
      </c>
      <c r="E13" s="759" t="s">
        <v>612</v>
      </c>
      <c r="F13" s="759" t="s">
        <v>504</v>
      </c>
      <c r="G13" s="773" t="s">
        <v>613</v>
      </c>
      <c r="H13" s="772" t="s">
        <v>614</v>
      </c>
      <c r="I13" s="1326" t="s">
        <v>615</v>
      </c>
      <c r="J13" s="1327"/>
      <c r="K13" s="1318"/>
      <c r="L13" s="760"/>
      <c r="M13" s="1318"/>
      <c r="N13" s="1318"/>
      <c r="O13" s="1318"/>
      <c r="P13" s="1325"/>
    </row>
    <row r="14" spans="1:16" x14ac:dyDescent="0.25">
      <c r="A14" s="761"/>
      <c r="B14" s="761"/>
      <c r="C14" s="761"/>
      <c r="D14" s="761"/>
      <c r="E14" s="761"/>
      <c r="F14" s="761"/>
      <c r="G14" s="762"/>
      <c r="H14" s="761"/>
      <c r="I14" s="763"/>
      <c r="J14" s="763"/>
      <c r="K14" s="764"/>
      <c r="L14" s="765"/>
      <c r="M14" s="764"/>
      <c r="N14" s="764"/>
      <c r="O14" s="764"/>
      <c r="P14" s="762"/>
    </row>
    <row r="15" spans="1:16" x14ac:dyDescent="0.25">
      <c r="A15" s="766" t="s">
        <v>454</v>
      </c>
      <c r="B15" s="767" t="s">
        <v>503</v>
      </c>
      <c r="C15" s="985">
        <v>36432.680734342255</v>
      </c>
      <c r="D15" s="985">
        <f>C15</f>
        <v>36432.680734342255</v>
      </c>
      <c r="E15" s="986">
        <f t="shared" ref="E15:E27" si="0">IF(SUM(C15:D15)=0,0,AVERAGE(C15:D15))</f>
        <v>36432.680734342255</v>
      </c>
      <c r="F15" s="985">
        <v>301593274.34950149</v>
      </c>
      <c r="G15" s="987"/>
      <c r="H15" s="988">
        <v>17.8</v>
      </c>
      <c r="I15" s="989">
        <v>7.6E-3</v>
      </c>
      <c r="J15" s="989"/>
      <c r="K15" s="990">
        <f t="shared" ref="K15:K27" si="1">H15*E15*12+I15*F15+J15*G15</f>
        <v>10074129.489911718</v>
      </c>
      <c r="L15" s="991"/>
      <c r="M15" s="992">
        <v>10072165.721353298</v>
      </c>
      <c r="N15" s="992"/>
      <c r="O15" s="993">
        <f>SUM(M15:N15)</f>
        <v>10072165.721353298</v>
      </c>
      <c r="P15" s="994">
        <f t="shared" ref="P15:P27" si="2">O15-K15</f>
        <v>-1963.7685584202409</v>
      </c>
    </row>
    <row r="16" spans="1:16" x14ac:dyDescent="0.25">
      <c r="A16" s="766" t="s">
        <v>455</v>
      </c>
      <c r="B16" s="767" t="s">
        <v>503</v>
      </c>
      <c r="C16" s="985">
        <v>2839.8399223469046</v>
      </c>
      <c r="D16" s="985">
        <f t="shared" ref="D16:D23" si="3">C16</f>
        <v>2839.8399223469046</v>
      </c>
      <c r="E16" s="986">
        <f t="shared" si="0"/>
        <v>2839.8399223469046</v>
      </c>
      <c r="F16" s="985">
        <v>103442406.59496056</v>
      </c>
      <c r="G16" s="987"/>
      <c r="H16" s="988">
        <v>30.14</v>
      </c>
      <c r="I16" s="989">
        <v>7.9000000000000008E-3</v>
      </c>
      <c r="J16" s="989"/>
      <c r="K16" s="990">
        <f t="shared" si="1"/>
        <v>1844308.3152146167</v>
      </c>
      <c r="L16" s="991"/>
      <c r="M16" s="992">
        <v>1839732.6215187737</v>
      </c>
      <c r="N16" s="992">
        <v>541.48799999999994</v>
      </c>
      <c r="O16" s="993">
        <f t="shared" ref="O16:O27" si="4">SUM(M16:N16)</f>
        <v>1840274.1095187736</v>
      </c>
      <c r="P16" s="994">
        <f t="shared" si="2"/>
        <v>-4034.2056958430912</v>
      </c>
    </row>
    <row r="17" spans="1:16" x14ac:dyDescent="0.25">
      <c r="A17" s="766" t="s">
        <v>616</v>
      </c>
      <c r="B17" s="767" t="s">
        <v>503</v>
      </c>
      <c r="C17" s="985">
        <v>448.67239043007072</v>
      </c>
      <c r="D17" s="985">
        <f t="shared" si="3"/>
        <v>448.67239043007072</v>
      </c>
      <c r="E17" s="986">
        <f t="shared" si="0"/>
        <v>448.67239043007072</v>
      </c>
      <c r="F17" s="985"/>
      <c r="G17" s="987">
        <v>1342820.9132025344</v>
      </c>
      <c r="H17" s="988">
        <v>232.03</v>
      </c>
      <c r="I17" s="989"/>
      <c r="J17" s="989">
        <v>2.8050999999999999</v>
      </c>
      <c r="K17" s="990">
        <f t="shared" si="1"/>
        <v>5016012.400642301</v>
      </c>
      <c r="L17" s="991"/>
      <c r="M17" s="992">
        <v>4621191.6840885989</v>
      </c>
      <c r="N17" s="992">
        <v>394789.34848154511</v>
      </c>
      <c r="O17" s="993">
        <f t="shared" si="4"/>
        <v>5015981.0325701442</v>
      </c>
      <c r="P17" s="994">
        <f t="shared" si="2"/>
        <v>-31.368072156794369</v>
      </c>
    </row>
    <row r="18" spans="1:16" x14ac:dyDescent="0.25">
      <c r="A18" s="766" t="s">
        <v>617</v>
      </c>
      <c r="B18" s="767"/>
      <c r="C18" s="985"/>
      <c r="D18" s="985"/>
      <c r="E18" s="986">
        <f t="shared" si="0"/>
        <v>0</v>
      </c>
      <c r="F18" s="985"/>
      <c r="G18" s="987"/>
      <c r="H18" s="988"/>
      <c r="I18" s="989"/>
      <c r="J18" s="989"/>
      <c r="K18" s="990">
        <f t="shared" si="1"/>
        <v>0</v>
      </c>
      <c r="L18" s="991"/>
      <c r="M18" s="992"/>
      <c r="N18" s="992"/>
      <c r="O18" s="993">
        <f t="shared" si="4"/>
        <v>0</v>
      </c>
      <c r="P18" s="994">
        <f t="shared" si="2"/>
        <v>0</v>
      </c>
    </row>
    <row r="19" spans="1:16" x14ac:dyDescent="0.25">
      <c r="A19" s="766" t="s">
        <v>618</v>
      </c>
      <c r="B19" s="767" t="s">
        <v>619</v>
      </c>
      <c r="C19" s="985">
        <v>5848.7835619252273</v>
      </c>
      <c r="D19" s="985">
        <f t="shared" si="3"/>
        <v>5848.7835619252273</v>
      </c>
      <c r="E19" s="986">
        <f t="shared" si="0"/>
        <v>5848.7835619252273</v>
      </c>
      <c r="F19" s="985"/>
      <c r="G19" s="987">
        <v>22796.276919161843</v>
      </c>
      <c r="H19" s="988">
        <v>1.42</v>
      </c>
      <c r="I19" s="989"/>
      <c r="J19" s="989">
        <v>5.9531999999999998</v>
      </c>
      <c r="K19" s="990">
        <f t="shared" si="1"/>
        <v>235374.06765036017</v>
      </c>
      <c r="L19" s="991"/>
      <c r="M19" s="992">
        <v>235549.94734009379</v>
      </c>
      <c r="N19" s="992"/>
      <c r="O19" s="993">
        <f t="shared" si="4"/>
        <v>235549.94734009379</v>
      </c>
      <c r="P19" s="994">
        <f t="shared" si="2"/>
        <v>175.87968973361421</v>
      </c>
    </row>
    <row r="20" spans="1:16" x14ac:dyDescent="0.25">
      <c r="A20" s="766" t="s">
        <v>460</v>
      </c>
      <c r="B20" s="767" t="s">
        <v>619</v>
      </c>
      <c r="C20" s="985">
        <v>597.17737195173459</v>
      </c>
      <c r="D20" s="985">
        <f t="shared" si="3"/>
        <v>597.17737195173459</v>
      </c>
      <c r="E20" s="986">
        <f t="shared" si="0"/>
        <v>597.17737195173459</v>
      </c>
      <c r="F20" s="985"/>
      <c r="G20" s="987">
        <v>1155.3902232238072</v>
      </c>
      <c r="H20" s="988">
        <v>4.1500000000000004</v>
      </c>
      <c r="I20" s="989"/>
      <c r="J20" s="989">
        <v>19.880400000000002</v>
      </c>
      <c r="K20" s="990">
        <f t="shared" si="1"/>
        <v>52709.052916974964</v>
      </c>
      <c r="L20" s="991"/>
      <c r="M20" s="992">
        <v>52685.667086708199</v>
      </c>
      <c r="N20" s="992"/>
      <c r="O20" s="993">
        <f t="shared" si="4"/>
        <v>52685.667086708199</v>
      </c>
      <c r="P20" s="994">
        <f t="shared" si="2"/>
        <v>-23.38583026676497</v>
      </c>
    </row>
    <row r="21" spans="1:16" x14ac:dyDescent="0.25">
      <c r="A21" s="766" t="s">
        <v>620</v>
      </c>
      <c r="B21" s="767" t="s">
        <v>619</v>
      </c>
      <c r="C21" s="985">
        <v>425.13349971298322</v>
      </c>
      <c r="D21" s="985">
        <f t="shared" si="3"/>
        <v>425.13349971298322</v>
      </c>
      <c r="E21" s="986">
        <f t="shared" si="0"/>
        <v>425.13349971298322</v>
      </c>
      <c r="F21" s="985">
        <v>1405153.9196494406</v>
      </c>
      <c r="G21" s="987"/>
      <c r="H21" s="988">
        <v>12.84</v>
      </c>
      <c r="I21" s="989">
        <v>8.8999999999999999E-3</v>
      </c>
      <c r="J21" s="989"/>
      <c r="K21" s="990">
        <f t="shared" si="1"/>
        <v>78010.43952065648</v>
      </c>
      <c r="L21" s="991"/>
      <c r="M21" s="992">
        <v>78003.297027164852</v>
      </c>
      <c r="N21" s="992"/>
      <c r="O21" s="993">
        <f t="shared" si="4"/>
        <v>78003.297027164852</v>
      </c>
      <c r="P21" s="994">
        <f t="shared" si="2"/>
        <v>-7.1424934916285565</v>
      </c>
    </row>
    <row r="22" spans="1:16" x14ac:dyDescent="0.25">
      <c r="A22" s="766" t="s">
        <v>621</v>
      </c>
      <c r="B22" s="767"/>
      <c r="C22" s="985"/>
      <c r="D22" s="985"/>
      <c r="E22" s="986">
        <f t="shared" si="0"/>
        <v>0</v>
      </c>
      <c r="F22" s="985"/>
      <c r="G22" s="987"/>
      <c r="H22" s="988"/>
      <c r="I22" s="989"/>
      <c r="J22" s="989"/>
      <c r="K22" s="990">
        <f t="shared" si="1"/>
        <v>0</v>
      </c>
      <c r="L22" s="991"/>
      <c r="M22" s="992"/>
      <c r="N22" s="992"/>
      <c r="O22" s="993">
        <f t="shared" si="4"/>
        <v>0</v>
      </c>
      <c r="P22" s="994">
        <f t="shared" si="2"/>
        <v>0</v>
      </c>
    </row>
    <row r="23" spans="1:16" x14ac:dyDescent="0.25">
      <c r="A23" s="766" t="s">
        <v>622</v>
      </c>
      <c r="B23" s="767" t="s">
        <v>503</v>
      </c>
      <c r="C23" s="985">
        <v>2</v>
      </c>
      <c r="D23" s="985">
        <f t="shared" si="3"/>
        <v>2</v>
      </c>
      <c r="E23" s="986">
        <f t="shared" si="0"/>
        <v>2</v>
      </c>
      <c r="F23" s="985"/>
      <c r="G23" s="987">
        <v>139437.49637471305</v>
      </c>
      <c r="H23" s="988">
        <v>355.06</v>
      </c>
      <c r="I23" s="989"/>
      <c r="J23" s="989">
        <v>1.9704999999999999</v>
      </c>
      <c r="K23" s="990">
        <f t="shared" si="1"/>
        <v>283283.02660637203</v>
      </c>
      <c r="L23" s="991"/>
      <c r="M23" s="992">
        <v>199626.18567640785</v>
      </c>
      <c r="N23" s="992">
        <v>83662.497824827835</v>
      </c>
      <c r="O23" s="993">
        <f t="shared" si="4"/>
        <v>283288.68350123568</v>
      </c>
      <c r="P23" s="994">
        <f t="shared" si="2"/>
        <v>5.6568948636413552</v>
      </c>
    </row>
    <row r="24" spans="1:16" x14ac:dyDescent="0.25">
      <c r="A24" s="766" t="s">
        <v>623</v>
      </c>
      <c r="B24" s="767"/>
      <c r="C24" s="985"/>
      <c r="D24" s="985"/>
      <c r="E24" s="995">
        <f t="shared" si="0"/>
        <v>0</v>
      </c>
      <c r="F24" s="985"/>
      <c r="G24" s="987"/>
      <c r="H24" s="996"/>
      <c r="I24" s="989"/>
      <c r="J24" s="989"/>
      <c r="K24" s="990">
        <f t="shared" si="1"/>
        <v>0</v>
      </c>
      <c r="L24" s="991"/>
      <c r="M24" s="992"/>
      <c r="N24" s="992"/>
      <c r="O24" s="993">
        <f t="shared" si="4"/>
        <v>0</v>
      </c>
      <c r="P24" s="994">
        <f t="shared" si="2"/>
        <v>0</v>
      </c>
    </row>
    <row r="25" spans="1:16" x14ac:dyDescent="0.25">
      <c r="A25" s="766"/>
      <c r="B25" s="767"/>
      <c r="C25" s="985"/>
      <c r="D25" s="985"/>
      <c r="E25" s="995">
        <f t="shared" si="0"/>
        <v>0</v>
      </c>
      <c r="F25" s="985"/>
      <c r="G25" s="987"/>
      <c r="H25" s="996"/>
      <c r="I25" s="989"/>
      <c r="J25" s="989"/>
      <c r="K25" s="990">
        <f t="shared" si="1"/>
        <v>0</v>
      </c>
      <c r="L25" s="991"/>
      <c r="M25" s="992"/>
      <c r="N25" s="992"/>
      <c r="O25" s="993">
        <f t="shared" si="4"/>
        <v>0</v>
      </c>
      <c r="P25" s="994">
        <f t="shared" si="2"/>
        <v>0</v>
      </c>
    </row>
    <row r="26" spans="1:16" x14ac:dyDescent="0.25">
      <c r="A26" s="766"/>
      <c r="B26" s="767"/>
      <c r="C26" s="985"/>
      <c r="D26" s="985"/>
      <c r="E26" s="995">
        <f t="shared" si="0"/>
        <v>0</v>
      </c>
      <c r="F26" s="985"/>
      <c r="G26" s="987"/>
      <c r="H26" s="996"/>
      <c r="I26" s="989"/>
      <c r="J26" s="989"/>
      <c r="K26" s="990">
        <f t="shared" si="1"/>
        <v>0</v>
      </c>
      <c r="L26" s="991"/>
      <c r="M26" s="992"/>
      <c r="N26" s="992"/>
      <c r="O26" s="993">
        <f t="shared" si="4"/>
        <v>0</v>
      </c>
      <c r="P26" s="994">
        <f t="shared" si="2"/>
        <v>0</v>
      </c>
    </row>
    <row r="27" spans="1:16" ht="15.75" thickBot="1" x14ac:dyDescent="0.3">
      <c r="A27" s="766"/>
      <c r="B27" s="767"/>
      <c r="C27" s="985"/>
      <c r="D27" s="985"/>
      <c r="E27" s="995">
        <f t="shared" si="0"/>
        <v>0</v>
      </c>
      <c r="F27" s="985"/>
      <c r="G27" s="987"/>
      <c r="H27" s="996"/>
      <c r="I27" s="989"/>
      <c r="J27" s="989"/>
      <c r="K27" s="997">
        <f t="shared" si="1"/>
        <v>0</v>
      </c>
      <c r="L27" s="991"/>
      <c r="M27" s="992"/>
      <c r="N27" s="992"/>
      <c r="O27" s="998">
        <f t="shared" si="4"/>
        <v>0</v>
      </c>
      <c r="P27" s="998">
        <f t="shared" si="2"/>
        <v>0</v>
      </c>
    </row>
    <row r="28" spans="1:16" ht="15.75" thickTop="1" x14ac:dyDescent="0.25">
      <c r="A28" s="761"/>
      <c r="B28" s="761"/>
      <c r="C28" s="999"/>
      <c r="D28" s="999"/>
      <c r="E28" s="999"/>
      <c r="F28" s="999"/>
      <c r="G28" s="1000"/>
      <c r="H28" s="999"/>
      <c r="I28" s="999"/>
      <c r="J28" s="999"/>
      <c r="K28" s="1001"/>
      <c r="L28" s="991"/>
      <c r="M28" s="1002"/>
      <c r="N28" s="1002"/>
      <c r="O28" s="999"/>
      <c r="P28" s="1000"/>
    </row>
    <row r="29" spans="1:16" ht="15.75" thickBot="1" x14ac:dyDescent="0.3">
      <c r="A29" s="755" t="s">
        <v>80</v>
      </c>
      <c r="B29" s="768"/>
      <c r="C29" s="1003"/>
      <c r="D29" s="1003"/>
      <c r="E29" s="1003"/>
      <c r="F29" s="1003"/>
      <c r="G29" s="1004"/>
      <c r="H29" s="1003"/>
      <c r="I29" s="1003"/>
      <c r="J29" s="1003"/>
      <c r="K29" s="1005">
        <f>SUM(K15:K27)</f>
        <v>17583826.792463001</v>
      </c>
      <c r="L29" s="1006"/>
      <c r="M29" s="1007">
        <f>SUM(M15:M27)</f>
        <v>17098955.124091044</v>
      </c>
      <c r="N29" s="1007">
        <f>SUM(N15:N27)</f>
        <v>478993.33430637297</v>
      </c>
      <c r="O29" s="1007">
        <f>M29+N29</f>
        <v>17577948.458397418</v>
      </c>
      <c r="P29" s="1008">
        <f>O29-K29</f>
        <v>-5878.3340655826032</v>
      </c>
    </row>
    <row r="31" spans="1:16" x14ac:dyDescent="0.25">
      <c r="A31" s="769" t="s">
        <v>624</v>
      </c>
      <c r="B31" s="771"/>
      <c r="C31" s="771"/>
      <c r="D31" s="771"/>
      <c r="E31" s="771"/>
      <c r="F31" s="771"/>
      <c r="G31" s="771"/>
      <c r="H31" s="771"/>
      <c r="I31" s="771"/>
      <c r="J31" s="771"/>
      <c r="K31" s="771"/>
      <c r="L31" s="749"/>
      <c r="M31" s="749"/>
      <c r="N31" s="749"/>
      <c r="O31" s="749"/>
      <c r="P31" s="749"/>
    </row>
    <row r="32" spans="1:16" x14ac:dyDescent="0.25">
      <c r="A32" s="771"/>
      <c r="B32" s="771"/>
      <c r="C32" s="771"/>
      <c r="D32" s="771"/>
      <c r="E32" s="771"/>
      <c r="F32" s="771"/>
      <c r="G32" s="771"/>
      <c r="H32" s="771"/>
      <c r="I32" s="771"/>
      <c r="J32" s="771"/>
      <c r="K32" s="771"/>
      <c r="L32" s="749"/>
      <c r="M32" s="749"/>
      <c r="N32" s="749"/>
      <c r="O32" s="749"/>
      <c r="P32" s="749"/>
    </row>
    <row r="33" spans="1:14" x14ac:dyDescent="0.25">
      <c r="A33" s="1315" t="s">
        <v>625</v>
      </c>
      <c r="B33" s="1315"/>
      <c r="C33" s="1315"/>
      <c r="D33" s="1315"/>
      <c r="E33" s="1315"/>
      <c r="F33" s="1315"/>
      <c r="G33" s="1315"/>
      <c r="H33" s="1315"/>
      <c r="I33" s="1315"/>
      <c r="J33" s="1315"/>
      <c r="K33" s="1315"/>
      <c r="L33" s="1315"/>
      <c r="M33" s="1315"/>
      <c r="N33" s="1315"/>
    </row>
    <row r="34" spans="1:14" x14ac:dyDescent="0.25">
      <c r="A34" s="1315"/>
      <c r="B34" s="1315"/>
      <c r="C34" s="1315"/>
      <c r="D34" s="1315"/>
      <c r="E34" s="1315"/>
      <c r="F34" s="1315"/>
      <c r="G34" s="1315"/>
      <c r="H34" s="1315"/>
      <c r="I34" s="1315"/>
      <c r="J34" s="1315"/>
      <c r="K34" s="1315"/>
      <c r="L34" s="1315"/>
      <c r="M34" s="1315"/>
      <c r="N34" s="1315"/>
    </row>
    <row r="35" spans="1:14" x14ac:dyDescent="0.25">
      <c r="A35" s="1315" t="s">
        <v>626</v>
      </c>
      <c r="B35" s="1315"/>
      <c r="C35" s="1315"/>
      <c r="D35" s="1315"/>
      <c r="E35" s="1315"/>
      <c r="F35" s="1315"/>
      <c r="G35" s="1315"/>
      <c r="H35" s="1315"/>
      <c r="I35" s="1315"/>
      <c r="J35" s="1315"/>
      <c r="K35" s="1315"/>
      <c r="L35" s="1315"/>
      <c r="M35" s="1315"/>
      <c r="N35" s="1315"/>
    </row>
    <row r="36" spans="1:14" x14ac:dyDescent="0.25">
      <c r="A36" s="1315"/>
      <c r="B36" s="1315"/>
      <c r="C36" s="1315"/>
      <c r="D36" s="1315"/>
      <c r="E36" s="1315"/>
      <c r="F36" s="1315"/>
      <c r="G36" s="1315"/>
      <c r="H36" s="1315"/>
      <c r="I36" s="1315"/>
      <c r="J36" s="1315"/>
      <c r="K36" s="1315"/>
      <c r="L36" s="1315"/>
      <c r="M36" s="1315"/>
      <c r="N36" s="1315"/>
    </row>
  </sheetData>
  <customSheetViews>
    <customSheetView guid="{FEE3C04B-CD27-4551-A1CF-8272225D231B}" topLeftCell="H4">
      <selection activeCell="S23" sqref="S23"/>
      <pageMargins left="0.7" right="0.7" top="0.75" bottom="0.75" header="0.3" footer="0.3"/>
    </customSheetView>
    <customSheetView guid="{957A2981-C0FE-4A89-90AC-F40944F7258F}" topLeftCell="A7">
      <selection activeCell="O35" sqref="A35:XFD41"/>
      <pageMargins left="0.7" right="0.7" top="0.75" bottom="0.75" header="0.3" footer="0.3"/>
    </customSheetView>
    <customSheetView guid="{AE01795C-0F1A-4D22-B411-4CB1D681CFC8}" topLeftCell="H4">
      <selection activeCell="S23" sqref="S23"/>
      <pageMargins left="0.7" right="0.7" top="0.75" bottom="0.75" header="0.3" footer="0.3"/>
    </customSheetView>
  </customSheetViews>
  <mergeCells count="14">
    <mergeCell ref="A35:N36"/>
    <mergeCell ref="A33:N34"/>
    <mergeCell ref="A9:P9"/>
    <mergeCell ref="K12:K13"/>
    <mergeCell ref="A10:P10"/>
    <mergeCell ref="F12:G12"/>
    <mergeCell ref="C12:E12"/>
    <mergeCell ref="M12:M13"/>
    <mergeCell ref="N12:N13"/>
    <mergeCell ref="O12:O13"/>
    <mergeCell ref="P12:P13"/>
    <mergeCell ref="B12:B13"/>
    <mergeCell ref="I13:J13"/>
    <mergeCell ref="H12: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topLeftCell="A10" workbookViewId="0">
      <selection activeCell="J25" sqref="J25"/>
    </sheetView>
  </sheetViews>
  <sheetFormatPr defaultRowHeight="15" x14ac:dyDescent="0.25"/>
  <cols>
    <col min="1" max="1" width="54.28515625" bestFit="1" customWidth="1"/>
  </cols>
  <sheetData>
    <row r="1" spans="1:9" x14ac:dyDescent="0.25">
      <c r="A1" s="1"/>
      <c r="B1" s="1"/>
      <c r="C1" s="1"/>
      <c r="D1" s="1"/>
      <c r="E1" s="1"/>
      <c r="F1" s="1"/>
      <c r="G1" s="2" t="s">
        <v>0</v>
      </c>
      <c r="H1" s="3">
        <v>0</v>
      </c>
      <c r="I1" s="1"/>
    </row>
    <row r="2" spans="1:9" x14ac:dyDescent="0.25">
      <c r="A2" s="1"/>
      <c r="B2" s="1"/>
      <c r="C2" s="1"/>
      <c r="D2" s="1"/>
      <c r="E2" s="1"/>
      <c r="F2" s="1"/>
      <c r="G2" s="2" t="s">
        <v>1</v>
      </c>
      <c r="H2" s="4"/>
      <c r="I2" s="1"/>
    </row>
    <row r="3" spans="1:9" x14ac:dyDescent="0.25">
      <c r="A3" s="1"/>
      <c r="B3" s="1"/>
      <c r="C3" s="1"/>
      <c r="D3" s="1"/>
      <c r="E3" s="1"/>
      <c r="F3" s="1"/>
      <c r="G3" s="2" t="s">
        <v>2</v>
      </c>
      <c r="H3" s="4"/>
      <c r="I3" s="1"/>
    </row>
    <row r="4" spans="1:9" x14ac:dyDescent="0.25">
      <c r="A4" s="1"/>
      <c r="B4" s="1"/>
      <c r="C4" s="1"/>
      <c r="D4" s="1"/>
      <c r="E4" s="1"/>
      <c r="F4" s="1"/>
      <c r="G4" s="2" t="s">
        <v>3</v>
      </c>
      <c r="H4" s="4"/>
      <c r="I4" s="1"/>
    </row>
    <row r="5" spans="1:9" x14ac:dyDescent="0.25">
      <c r="A5" s="1"/>
      <c r="B5" s="1"/>
      <c r="C5" s="1"/>
      <c r="D5" s="1"/>
      <c r="E5" s="1"/>
      <c r="F5" s="1"/>
      <c r="G5" s="2" t="s">
        <v>4</v>
      </c>
      <c r="H5" s="5"/>
      <c r="I5" s="1"/>
    </row>
    <row r="6" spans="1:9" x14ac:dyDescent="0.25">
      <c r="A6" s="1"/>
      <c r="B6" s="1"/>
      <c r="C6" s="1"/>
      <c r="D6" s="1"/>
      <c r="E6" s="1"/>
      <c r="F6" s="1"/>
      <c r="G6" s="2"/>
      <c r="H6" s="3"/>
      <c r="I6" s="1"/>
    </row>
    <row r="7" spans="1:9" x14ac:dyDescent="0.25">
      <c r="A7" s="1"/>
      <c r="B7" s="1"/>
      <c r="C7" s="1"/>
      <c r="D7" s="1"/>
      <c r="E7" s="1"/>
      <c r="F7" s="1"/>
      <c r="G7" s="2" t="s">
        <v>5</v>
      </c>
      <c r="H7" s="5"/>
      <c r="I7" s="1"/>
    </row>
    <row r="9" spans="1:9" ht="18" x14ac:dyDescent="0.25">
      <c r="A9" s="1036" t="s">
        <v>6</v>
      </c>
      <c r="B9" s="1036"/>
      <c r="C9" s="1036"/>
      <c r="D9" s="1036"/>
      <c r="E9" s="1036"/>
      <c r="F9" s="1036"/>
      <c r="G9" s="1036"/>
      <c r="H9" s="1036"/>
      <c r="I9" s="6"/>
    </row>
    <row r="10" spans="1:9" ht="18" x14ac:dyDescent="0.25">
      <c r="A10" s="1036" t="s">
        <v>7</v>
      </c>
      <c r="B10" s="1036"/>
      <c r="C10" s="1036"/>
      <c r="D10" s="1036"/>
      <c r="E10" s="1036"/>
      <c r="F10" s="1036"/>
      <c r="G10" s="1036"/>
      <c r="H10" s="1036"/>
      <c r="I10" s="6"/>
    </row>
    <row r="12" spans="1:9" ht="15.75" thickBot="1" x14ac:dyDescent="0.3">
      <c r="A12" s="1034"/>
      <c r="B12" s="1034"/>
      <c r="C12" s="1034"/>
      <c r="D12" s="1034"/>
      <c r="E12" s="1034"/>
      <c r="F12" s="1034"/>
      <c r="G12" s="1034"/>
      <c r="H12" s="1034"/>
      <c r="I12" s="1"/>
    </row>
    <row r="13" spans="1:9" ht="38.25" x14ac:dyDescent="0.25">
      <c r="A13" s="7" t="s">
        <v>8</v>
      </c>
      <c r="B13" s="8">
        <v>2012</v>
      </c>
      <c r="C13" s="8">
        <v>2013</v>
      </c>
      <c r="D13" s="8">
        <v>2014</v>
      </c>
      <c r="E13" s="8">
        <v>2015</v>
      </c>
      <c r="F13" s="8" t="s">
        <v>9</v>
      </c>
      <c r="G13" s="8" t="s">
        <v>10</v>
      </c>
      <c r="H13" s="1"/>
      <c r="I13" s="1"/>
    </row>
    <row r="14" spans="1:9" x14ac:dyDescent="0.25">
      <c r="A14" s="9" t="s">
        <v>11</v>
      </c>
      <c r="B14" s="10" t="s">
        <v>12</v>
      </c>
      <c r="C14" s="10" t="s">
        <v>12</v>
      </c>
      <c r="D14" s="10" t="s">
        <v>12</v>
      </c>
      <c r="E14" s="10" t="s">
        <v>13</v>
      </c>
      <c r="F14" s="10" t="s">
        <v>13</v>
      </c>
      <c r="G14" s="10" t="s">
        <v>13</v>
      </c>
      <c r="H14" s="1"/>
      <c r="I14" s="1"/>
    </row>
    <row r="15" spans="1:9" x14ac:dyDescent="0.25">
      <c r="A15" s="11" t="s">
        <v>14</v>
      </c>
      <c r="B15" s="12"/>
      <c r="C15" s="12"/>
      <c r="D15" s="12"/>
      <c r="E15" s="12"/>
      <c r="F15" s="12"/>
      <c r="G15" s="12"/>
      <c r="H15" s="1"/>
      <c r="I15" s="1"/>
    </row>
    <row r="16" spans="1:9" x14ac:dyDescent="0.25">
      <c r="A16" s="11" t="s">
        <v>15</v>
      </c>
      <c r="B16" s="13">
        <v>249530</v>
      </c>
      <c r="C16" s="13">
        <v>92218.52</v>
      </c>
      <c r="D16" s="13">
        <v>76694.62999999999</v>
      </c>
      <c r="E16" s="13">
        <v>127576.51999999999</v>
      </c>
      <c r="F16" s="13">
        <v>181776.80000000005</v>
      </c>
      <c r="G16" s="13">
        <v>267585</v>
      </c>
      <c r="H16" s="1"/>
      <c r="I16" s="1"/>
    </row>
    <row r="17" spans="1:7" x14ac:dyDescent="0.25">
      <c r="A17" s="11" t="s">
        <v>16</v>
      </c>
      <c r="B17" s="14">
        <v>299893</v>
      </c>
      <c r="C17" s="14">
        <v>113849.65000000001</v>
      </c>
      <c r="D17" s="14">
        <v>135280.4</v>
      </c>
      <c r="E17" s="14">
        <v>299152.09999999998</v>
      </c>
      <c r="F17" s="14">
        <v>231864</v>
      </c>
      <c r="G17" s="14">
        <v>246578.6</v>
      </c>
    </row>
    <row r="18" spans="1:7" x14ac:dyDescent="0.25">
      <c r="A18" s="11" t="s">
        <v>17</v>
      </c>
      <c r="B18" s="15">
        <v>320581</v>
      </c>
      <c r="C18" s="15">
        <v>445549.64</v>
      </c>
      <c r="D18" s="15">
        <v>233216.81000000003</v>
      </c>
      <c r="E18" s="15">
        <v>309455.07</v>
      </c>
      <c r="F18" s="15">
        <v>380811.51</v>
      </c>
      <c r="G18" s="15">
        <v>469527.32000000007</v>
      </c>
    </row>
    <row r="19" spans="1:7" x14ac:dyDescent="0.25">
      <c r="A19" s="11" t="s">
        <v>18</v>
      </c>
      <c r="B19" s="15">
        <v>35258</v>
      </c>
      <c r="C19" s="15">
        <v>48144.67</v>
      </c>
      <c r="D19" s="15">
        <v>14008.97</v>
      </c>
      <c r="E19" s="15">
        <v>74985.48</v>
      </c>
      <c r="F19" s="15">
        <v>31644.851511000001</v>
      </c>
      <c r="G19" s="15">
        <v>34888.448790877497</v>
      </c>
    </row>
    <row r="20" spans="1:7" x14ac:dyDescent="0.25">
      <c r="A20" s="11" t="s">
        <v>19</v>
      </c>
      <c r="B20" s="15">
        <v>205947</v>
      </c>
      <c r="C20" s="15">
        <v>204121.72</v>
      </c>
      <c r="D20" s="15">
        <v>283592</v>
      </c>
      <c r="E20" s="15">
        <v>296076.33999999997</v>
      </c>
      <c r="F20" s="15">
        <v>291772.95</v>
      </c>
      <c r="G20" s="15">
        <v>321679.67737500003</v>
      </c>
    </row>
    <row r="21" spans="1:7" x14ac:dyDescent="0.25">
      <c r="A21" s="11" t="s">
        <v>20</v>
      </c>
      <c r="B21" s="30">
        <v>157760</v>
      </c>
      <c r="C21" s="30">
        <v>93524.170000000013</v>
      </c>
      <c r="D21" s="30">
        <v>111575.83</v>
      </c>
      <c r="E21" s="30">
        <v>92454.34</v>
      </c>
      <c r="F21" s="30">
        <v>89626.044150000002</v>
      </c>
      <c r="G21" s="30">
        <v>90507.687424000003</v>
      </c>
    </row>
    <row r="22" spans="1:7" x14ac:dyDescent="0.25">
      <c r="A22" s="11" t="s">
        <v>21</v>
      </c>
      <c r="B22" s="30">
        <v>0</v>
      </c>
      <c r="C22" s="30">
        <v>0</v>
      </c>
      <c r="D22" s="30">
        <v>278761</v>
      </c>
      <c r="E22" s="30">
        <v>18838.650000000001</v>
      </c>
      <c r="F22" s="30">
        <v>0</v>
      </c>
      <c r="G22" s="30">
        <v>-0.40000000000145519</v>
      </c>
    </row>
    <row r="23" spans="1:7" x14ac:dyDescent="0.25">
      <c r="A23" s="11" t="s">
        <v>22</v>
      </c>
      <c r="B23" s="30">
        <v>0</v>
      </c>
      <c r="C23" s="30">
        <v>0</v>
      </c>
      <c r="D23" s="30">
        <v>0</v>
      </c>
      <c r="E23" s="30">
        <v>0</v>
      </c>
      <c r="F23" s="30">
        <v>0</v>
      </c>
      <c r="G23" s="30">
        <v>0</v>
      </c>
    </row>
    <row r="24" spans="1:7" x14ac:dyDescent="0.25">
      <c r="A24" s="11" t="s">
        <v>23</v>
      </c>
      <c r="B24" s="30">
        <v>0</v>
      </c>
      <c r="C24" s="30">
        <v>0</v>
      </c>
      <c r="D24" s="30">
        <v>0</v>
      </c>
      <c r="E24" s="30">
        <v>0</v>
      </c>
      <c r="F24" s="30">
        <v>0</v>
      </c>
      <c r="G24" s="30">
        <v>0</v>
      </c>
    </row>
    <row r="25" spans="1:7" x14ac:dyDescent="0.25">
      <c r="A25" s="11" t="s">
        <v>24</v>
      </c>
      <c r="B25" s="15">
        <v>16707</v>
      </c>
      <c r="C25" s="15">
        <v>22586.75</v>
      </c>
      <c r="D25" s="15">
        <v>31551.43</v>
      </c>
      <c r="E25" s="15">
        <v>31791.839999999997</v>
      </c>
      <c r="F25" s="15">
        <v>135344</v>
      </c>
      <c r="G25" s="15">
        <v>20000</v>
      </c>
    </row>
    <row r="26" spans="1:7" x14ac:dyDescent="0.25">
      <c r="A26" s="16" t="s">
        <v>25</v>
      </c>
      <c r="B26" s="17">
        <v>1285676</v>
      </c>
      <c r="C26" s="17">
        <v>1019995.1200000001</v>
      </c>
      <c r="D26" s="17">
        <v>1164681.0699999998</v>
      </c>
      <c r="E26" s="17">
        <v>1250330.3399999999</v>
      </c>
      <c r="F26" s="17">
        <v>1342840.1556609999</v>
      </c>
      <c r="G26" s="17">
        <v>1450766.3335898775</v>
      </c>
    </row>
    <row r="27" spans="1:7" x14ac:dyDescent="0.25">
      <c r="A27" s="18" t="s">
        <v>26</v>
      </c>
      <c r="B27" s="14"/>
      <c r="C27" s="14"/>
      <c r="D27" s="14"/>
      <c r="E27" s="14"/>
      <c r="F27" s="14"/>
      <c r="G27" s="14"/>
    </row>
    <row r="28" spans="1:7" x14ac:dyDescent="0.25">
      <c r="A28" s="11" t="s">
        <v>27</v>
      </c>
      <c r="B28" s="31">
        <v>18852.57</v>
      </c>
      <c r="C28" s="31">
        <v>0</v>
      </c>
      <c r="D28" s="31">
        <v>0</v>
      </c>
      <c r="E28" s="31">
        <v>0</v>
      </c>
      <c r="F28" s="31">
        <v>0</v>
      </c>
      <c r="G28" s="31">
        <v>0</v>
      </c>
    </row>
    <row r="29" spans="1:7" x14ac:dyDescent="0.25">
      <c r="A29" s="11" t="s">
        <v>28</v>
      </c>
      <c r="B29" s="26">
        <v>124327.89</v>
      </c>
      <c r="C29" s="26">
        <v>4992.0599999999995</v>
      </c>
      <c r="D29" s="26">
        <v>0</v>
      </c>
      <c r="E29" s="26">
        <v>0</v>
      </c>
      <c r="F29" s="26">
        <v>0</v>
      </c>
      <c r="G29" s="26">
        <v>0</v>
      </c>
    </row>
    <row r="30" spans="1:7" x14ac:dyDescent="0.25">
      <c r="A30" s="11" t="s">
        <v>29</v>
      </c>
      <c r="B30" s="30">
        <v>669318.65</v>
      </c>
      <c r="C30" s="30">
        <v>24.53</v>
      </c>
      <c r="D30" s="30">
        <v>0</v>
      </c>
      <c r="E30" s="30">
        <v>0</v>
      </c>
      <c r="F30" s="30">
        <v>0</v>
      </c>
      <c r="G30" s="30">
        <v>0</v>
      </c>
    </row>
    <row r="31" spans="1:7" x14ac:dyDescent="0.25">
      <c r="A31" s="11" t="s">
        <v>30</v>
      </c>
      <c r="B31" s="30">
        <v>2241.88</v>
      </c>
      <c r="C31" s="30">
        <v>0</v>
      </c>
      <c r="D31" s="30">
        <v>0</v>
      </c>
      <c r="E31" s="30">
        <v>0</v>
      </c>
      <c r="F31" s="30">
        <v>0</v>
      </c>
      <c r="G31" s="30">
        <v>0</v>
      </c>
    </row>
    <row r="32" spans="1:7" x14ac:dyDescent="0.25">
      <c r="A32" s="11" t="s">
        <v>31</v>
      </c>
      <c r="B32" s="30">
        <v>8584.1200000000008</v>
      </c>
      <c r="C32" s="30">
        <v>606537.01</v>
      </c>
      <c r="D32" s="30">
        <v>0</v>
      </c>
      <c r="E32" s="30">
        <v>0</v>
      </c>
      <c r="F32" s="30">
        <v>0</v>
      </c>
      <c r="G32" s="30">
        <v>0</v>
      </c>
    </row>
    <row r="33" spans="1:17" x14ac:dyDescent="0.25">
      <c r="A33" s="11" t="s">
        <v>32</v>
      </c>
      <c r="B33" s="30">
        <v>0</v>
      </c>
      <c r="C33" s="30">
        <v>534218.17999999993</v>
      </c>
      <c r="D33" s="30">
        <v>-174899.11000000002</v>
      </c>
      <c r="E33" s="30">
        <v>8861.380000000001</v>
      </c>
      <c r="F33" s="30">
        <v>0</v>
      </c>
      <c r="G33" s="30">
        <v>0</v>
      </c>
      <c r="H33" s="1"/>
      <c r="I33" s="1"/>
      <c r="J33" s="1"/>
      <c r="K33" s="1"/>
      <c r="L33" s="1"/>
      <c r="M33" s="1"/>
      <c r="N33" s="1"/>
      <c r="O33" s="1"/>
      <c r="P33" s="1"/>
      <c r="Q33" s="1"/>
    </row>
    <row r="34" spans="1:17" x14ac:dyDescent="0.25">
      <c r="A34" s="11" t="s">
        <v>33</v>
      </c>
      <c r="B34" s="30">
        <v>0</v>
      </c>
      <c r="C34" s="30">
        <v>0</v>
      </c>
      <c r="D34" s="30">
        <v>394727.44999999995</v>
      </c>
      <c r="E34" s="30">
        <v>6965.45</v>
      </c>
      <c r="F34" s="30">
        <v>0</v>
      </c>
      <c r="G34" s="30">
        <v>0</v>
      </c>
      <c r="H34" s="1"/>
      <c r="I34" s="1"/>
      <c r="J34" s="1"/>
      <c r="K34" s="1"/>
      <c r="L34" s="1"/>
      <c r="M34" s="1"/>
      <c r="N34" s="1"/>
      <c r="O34" s="1"/>
      <c r="P34" s="1"/>
      <c r="Q34" s="1"/>
    </row>
    <row r="35" spans="1:17" x14ac:dyDescent="0.25">
      <c r="A35" s="11" t="s">
        <v>34</v>
      </c>
      <c r="B35" s="30">
        <v>0</v>
      </c>
      <c r="C35" s="30">
        <v>0</v>
      </c>
      <c r="D35" s="30">
        <v>0</v>
      </c>
      <c r="E35" s="30">
        <v>156428.65</v>
      </c>
      <c r="F35" s="30">
        <v>0</v>
      </c>
      <c r="G35" s="30">
        <v>0</v>
      </c>
      <c r="H35" s="1"/>
      <c r="I35" s="1"/>
      <c r="J35" s="1"/>
      <c r="K35" s="1"/>
      <c r="L35" s="1"/>
      <c r="M35" s="1"/>
      <c r="N35" s="1"/>
      <c r="O35" s="1"/>
      <c r="P35" s="1"/>
      <c r="Q35" s="1"/>
    </row>
    <row r="36" spans="1:17" x14ac:dyDescent="0.25">
      <c r="A36" s="11" t="s">
        <v>35</v>
      </c>
      <c r="B36" s="30">
        <v>0</v>
      </c>
      <c r="C36" s="30">
        <v>0</v>
      </c>
      <c r="D36" s="30">
        <v>49879.490000000005</v>
      </c>
      <c r="E36" s="30">
        <v>160400</v>
      </c>
      <c r="F36" s="30">
        <v>0</v>
      </c>
      <c r="G36" s="30">
        <v>0</v>
      </c>
      <c r="H36" s="1"/>
      <c r="I36" s="1"/>
      <c r="J36" s="1"/>
      <c r="K36" s="1"/>
      <c r="L36" s="1"/>
      <c r="M36" s="1"/>
      <c r="N36" s="1"/>
      <c r="O36" s="1"/>
      <c r="P36" s="1"/>
      <c r="Q36" s="1"/>
    </row>
    <row r="37" spans="1:17" x14ac:dyDescent="0.25">
      <c r="A37" s="11" t="s">
        <v>36</v>
      </c>
      <c r="B37" s="30">
        <v>0</v>
      </c>
      <c r="C37" s="30">
        <v>0</v>
      </c>
      <c r="D37" s="30">
        <v>0</v>
      </c>
      <c r="E37" s="30">
        <v>7983.9199999999992</v>
      </c>
      <c r="F37" s="30">
        <v>0</v>
      </c>
      <c r="G37" s="30">
        <v>0</v>
      </c>
      <c r="H37" s="1"/>
      <c r="I37" s="1"/>
      <c r="J37" s="1"/>
      <c r="K37" s="1"/>
      <c r="L37" s="1"/>
      <c r="M37" s="1"/>
      <c r="N37" s="1"/>
      <c r="O37" s="1"/>
      <c r="P37" s="1"/>
      <c r="Q37" s="1"/>
    </row>
    <row r="38" spans="1:17" x14ac:dyDescent="0.25">
      <c r="A38" s="11" t="s">
        <v>37</v>
      </c>
      <c r="B38" s="30">
        <v>0</v>
      </c>
      <c r="C38" s="30">
        <v>0</v>
      </c>
      <c r="D38" s="30">
        <v>0</v>
      </c>
      <c r="E38" s="30">
        <v>0</v>
      </c>
      <c r="F38" s="30">
        <v>260216</v>
      </c>
      <c r="G38" s="30">
        <v>0</v>
      </c>
      <c r="H38" s="1"/>
      <c r="I38" s="1"/>
      <c r="J38" s="1"/>
      <c r="K38" s="1"/>
      <c r="L38" s="1"/>
      <c r="M38" s="1"/>
      <c r="N38" s="1"/>
      <c r="O38" s="1"/>
      <c r="P38" s="1"/>
      <c r="Q38" s="1"/>
    </row>
    <row r="39" spans="1:17" x14ac:dyDescent="0.25">
      <c r="A39" s="11" t="s">
        <v>38</v>
      </c>
      <c r="B39" s="30">
        <v>0</v>
      </c>
      <c r="C39" s="30">
        <v>0</v>
      </c>
      <c r="D39" s="30">
        <v>0</v>
      </c>
      <c r="E39" s="30">
        <v>0</v>
      </c>
      <c r="F39" s="30">
        <v>35490</v>
      </c>
      <c r="G39" s="30">
        <v>0</v>
      </c>
      <c r="H39" s="1"/>
      <c r="I39" s="1"/>
      <c r="J39" s="1"/>
      <c r="K39" s="1"/>
      <c r="L39" s="1"/>
      <c r="M39" s="1"/>
      <c r="N39" s="1"/>
      <c r="O39" s="1"/>
      <c r="P39" s="1"/>
      <c r="Q39" s="25"/>
    </row>
    <row r="40" spans="1:17" x14ac:dyDescent="0.25">
      <c r="A40" s="11" t="s">
        <v>39</v>
      </c>
      <c r="B40" s="30">
        <v>0</v>
      </c>
      <c r="C40" s="30">
        <v>0</v>
      </c>
      <c r="D40" s="30">
        <v>0</v>
      </c>
      <c r="E40" s="30">
        <v>0</v>
      </c>
      <c r="F40" s="30">
        <v>0</v>
      </c>
      <c r="G40" s="30">
        <v>739250</v>
      </c>
      <c r="H40" s="1"/>
      <c r="I40" s="1"/>
      <c r="J40" s="1"/>
      <c r="K40" s="1"/>
      <c r="L40" s="1"/>
      <c r="M40" s="1"/>
      <c r="N40" s="1"/>
      <c r="O40" s="1"/>
      <c r="P40" s="1"/>
      <c r="Q40" s="1"/>
    </row>
    <row r="41" spans="1:17" x14ac:dyDescent="0.25">
      <c r="A41" s="16" t="s">
        <v>25</v>
      </c>
      <c r="B41" s="17">
        <v>823325.11</v>
      </c>
      <c r="C41" s="17">
        <v>1145771.7799999998</v>
      </c>
      <c r="D41" s="17">
        <v>269707.82999999996</v>
      </c>
      <c r="E41" s="17">
        <v>340639.39999999997</v>
      </c>
      <c r="F41" s="17">
        <v>295706</v>
      </c>
      <c r="G41" s="17">
        <v>739250</v>
      </c>
      <c r="H41" s="1"/>
      <c r="I41" s="1"/>
      <c r="J41" s="1"/>
      <c r="K41" s="1"/>
      <c r="L41" s="1"/>
      <c r="M41" s="1"/>
      <c r="N41" s="1"/>
      <c r="O41" s="1"/>
      <c r="P41" s="1"/>
      <c r="Q41" s="1"/>
    </row>
    <row r="42" spans="1:17" x14ac:dyDescent="0.25">
      <c r="A42" s="18" t="s">
        <v>40</v>
      </c>
      <c r="B42" s="12"/>
      <c r="C42" s="12"/>
      <c r="D42" s="12"/>
      <c r="E42" s="12"/>
      <c r="F42" s="12"/>
      <c r="G42" s="12"/>
      <c r="H42" s="1"/>
      <c r="I42" s="1"/>
      <c r="J42" s="1"/>
      <c r="K42" s="1"/>
      <c r="L42" s="1"/>
      <c r="M42" s="1"/>
      <c r="N42" s="1"/>
      <c r="O42" s="1"/>
      <c r="P42" s="1"/>
      <c r="Q42" s="1"/>
    </row>
    <row r="43" spans="1:17" x14ac:dyDescent="0.25">
      <c r="A43" s="11" t="s">
        <v>41</v>
      </c>
      <c r="B43" s="13">
        <v>-55373.810000000005</v>
      </c>
      <c r="C43" s="13">
        <v>0</v>
      </c>
      <c r="D43" s="13">
        <v>0</v>
      </c>
      <c r="E43" s="13">
        <v>0</v>
      </c>
      <c r="F43" s="13">
        <v>0</v>
      </c>
      <c r="G43" s="13">
        <v>0</v>
      </c>
      <c r="H43" s="1"/>
      <c r="I43" s="1"/>
      <c r="J43" s="1"/>
      <c r="K43" s="1"/>
      <c r="L43" s="1"/>
      <c r="M43" s="1"/>
      <c r="N43" s="1"/>
      <c r="O43" s="1"/>
      <c r="P43" s="1"/>
      <c r="Q43" s="1"/>
    </row>
    <row r="44" spans="1:17" x14ac:dyDescent="0.25">
      <c r="A44" s="11" t="s">
        <v>29</v>
      </c>
      <c r="B44" s="14">
        <v>-315371.84000000003</v>
      </c>
      <c r="C44" s="14">
        <v>0</v>
      </c>
      <c r="D44" s="14">
        <v>0</v>
      </c>
      <c r="E44" s="14">
        <v>0</v>
      </c>
      <c r="F44" s="14">
        <v>0</v>
      </c>
      <c r="G44" s="14">
        <v>0</v>
      </c>
      <c r="H44" s="1"/>
      <c r="I44" s="1"/>
      <c r="J44" s="1"/>
      <c r="K44" s="1"/>
      <c r="L44" s="1"/>
      <c r="M44" s="1"/>
      <c r="N44" s="1"/>
      <c r="O44" s="1"/>
      <c r="P44" s="1"/>
      <c r="Q44" s="1"/>
    </row>
    <row r="45" spans="1:17" x14ac:dyDescent="0.25">
      <c r="A45" s="11" t="s">
        <v>31</v>
      </c>
      <c r="B45" s="15">
        <v>0</v>
      </c>
      <c r="C45" s="15">
        <v>-368882.88999999996</v>
      </c>
      <c r="D45" s="15">
        <v>0</v>
      </c>
      <c r="E45" s="15">
        <v>0</v>
      </c>
      <c r="F45" s="15">
        <v>0</v>
      </c>
      <c r="G45" s="15">
        <v>0</v>
      </c>
      <c r="H45" s="1"/>
      <c r="I45" s="1"/>
      <c r="J45" s="1"/>
      <c r="K45" s="1"/>
      <c r="L45" s="1"/>
      <c r="M45" s="1"/>
      <c r="N45" s="1"/>
      <c r="O45" s="1"/>
      <c r="P45" s="1"/>
      <c r="Q45" s="1"/>
    </row>
    <row r="46" spans="1:17" x14ac:dyDescent="0.25">
      <c r="A46" s="11" t="s">
        <v>32</v>
      </c>
      <c r="B46" s="15">
        <v>0</v>
      </c>
      <c r="C46" s="15">
        <v>-313980</v>
      </c>
      <c r="D46" s="15">
        <v>-113280</v>
      </c>
      <c r="E46" s="15">
        <v>0</v>
      </c>
      <c r="F46" s="15">
        <v>0</v>
      </c>
      <c r="G46" s="15">
        <v>0</v>
      </c>
      <c r="H46" s="1"/>
      <c r="I46" s="1"/>
      <c r="J46" s="1"/>
      <c r="K46" s="1"/>
      <c r="L46" s="1"/>
      <c r="M46" s="1"/>
      <c r="N46" s="1"/>
      <c r="O46" s="1"/>
      <c r="P46" s="1"/>
      <c r="Q46" s="1"/>
    </row>
    <row r="47" spans="1:17" x14ac:dyDescent="0.25">
      <c r="A47" s="11" t="s">
        <v>33</v>
      </c>
      <c r="B47" s="15">
        <v>0</v>
      </c>
      <c r="C47" s="15">
        <v>0</v>
      </c>
      <c r="D47" s="15">
        <v>0</v>
      </c>
      <c r="E47" s="15">
        <v>0</v>
      </c>
      <c r="F47" s="15">
        <v>0</v>
      </c>
      <c r="G47" s="15">
        <v>0</v>
      </c>
      <c r="H47" s="1"/>
      <c r="I47" s="1"/>
      <c r="J47" s="1"/>
      <c r="K47" s="1"/>
      <c r="L47" s="1"/>
      <c r="M47" s="1"/>
      <c r="N47" s="1"/>
      <c r="O47" s="1"/>
      <c r="P47" s="1"/>
      <c r="Q47" s="1"/>
    </row>
    <row r="48" spans="1:17" x14ac:dyDescent="0.25">
      <c r="A48" s="11" t="s">
        <v>35</v>
      </c>
      <c r="B48" s="15">
        <v>0</v>
      </c>
      <c r="C48" s="15">
        <v>0</v>
      </c>
      <c r="D48" s="15">
        <v>0</v>
      </c>
      <c r="E48" s="15">
        <v>-125792.92</v>
      </c>
      <c r="F48" s="15">
        <v>0</v>
      </c>
      <c r="G48" s="15">
        <v>0</v>
      </c>
      <c r="H48" s="1"/>
      <c r="I48" s="1"/>
      <c r="J48" s="1"/>
      <c r="K48" s="1"/>
      <c r="L48" s="1"/>
      <c r="M48" s="1"/>
      <c r="N48" s="1"/>
      <c r="O48" s="1"/>
      <c r="P48" s="1"/>
      <c r="Q48" s="1"/>
    </row>
    <row r="49" spans="1:7" x14ac:dyDescent="0.25">
      <c r="A49" s="11" t="s">
        <v>34</v>
      </c>
      <c r="B49" s="15">
        <v>0</v>
      </c>
      <c r="C49" s="15">
        <v>0</v>
      </c>
      <c r="D49" s="15">
        <v>0</v>
      </c>
      <c r="E49" s="15">
        <v>-87600</v>
      </c>
      <c r="F49" s="15">
        <v>0</v>
      </c>
      <c r="G49" s="15">
        <v>0</v>
      </c>
    </row>
    <row r="50" spans="1:7" x14ac:dyDescent="0.25">
      <c r="A50" s="11" t="s">
        <v>42</v>
      </c>
      <c r="B50" s="15">
        <v>0</v>
      </c>
      <c r="C50" s="15">
        <v>0</v>
      </c>
      <c r="D50" s="15">
        <v>0</v>
      </c>
      <c r="E50" s="15">
        <v>0</v>
      </c>
      <c r="F50" s="15">
        <v>-272721</v>
      </c>
      <c r="G50" s="15">
        <v>-369528</v>
      </c>
    </row>
    <row r="51" spans="1:7" x14ac:dyDescent="0.25">
      <c r="A51" s="11" t="s">
        <v>43</v>
      </c>
      <c r="B51" s="15">
        <v>-218796.95</v>
      </c>
      <c r="C51" s="15">
        <v>-10696.529999999999</v>
      </c>
      <c r="D51" s="15">
        <v>-141373.43</v>
      </c>
      <c r="E51" s="15">
        <v>-36231.53</v>
      </c>
      <c r="F51" s="15">
        <v>-93597</v>
      </c>
      <c r="G51" s="15">
        <v>-66425</v>
      </c>
    </row>
    <row r="52" spans="1:7" x14ac:dyDescent="0.25">
      <c r="A52" s="11" t="s">
        <v>44</v>
      </c>
      <c r="B52" s="15">
        <v>-16008.150000000001</v>
      </c>
      <c r="C52" s="15">
        <v>-19516.11</v>
      </c>
      <c r="D52" s="15">
        <v>-77282.22</v>
      </c>
      <c r="E52" s="15">
        <v>-59186.149999999994</v>
      </c>
      <c r="F52" s="15">
        <v>-146566</v>
      </c>
      <c r="G52" s="15">
        <v>-43047</v>
      </c>
    </row>
    <row r="53" spans="1:7" x14ac:dyDescent="0.25">
      <c r="A53" s="16" t="s">
        <v>25</v>
      </c>
      <c r="B53" s="17">
        <v>-605550.75000000012</v>
      </c>
      <c r="C53" s="17">
        <v>-713075.52999999991</v>
      </c>
      <c r="D53" s="17">
        <v>-331935.65000000002</v>
      </c>
      <c r="E53" s="17">
        <v>-308810.59999999998</v>
      </c>
      <c r="F53" s="17">
        <v>-512884</v>
      </c>
      <c r="G53" s="17">
        <v>-479000</v>
      </c>
    </row>
    <row r="54" spans="1:7" x14ac:dyDescent="0.25">
      <c r="A54" s="16" t="s">
        <v>45</v>
      </c>
      <c r="B54" s="27">
        <v>1503450.3599999999</v>
      </c>
      <c r="C54" s="27">
        <v>1452691.37</v>
      </c>
      <c r="D54" s="27">
        <v>1102453.25</v>
      </c>
      <c r="E54" s="27">
        <v>1282159.1399999997</v>
      </c>
      <c r="F54" s="27">
        <v>1125662.1556609999</v>
      </c>
      <c r="G54" s="27">
        <v>1711016.3335898775</v>
      </c>
    </row>
    <row r="55" spans="1:7" x14ac:dyDescent="0.25">
      <c r="A55" s="18" t="s">
        <v>46</v>
      </c>
      <c r="B55" s="19"/>
      <c r="C55" s="19"/>
      <c r="D55" s="19"/>
      <c r="E55" s="19"/>
      <c r="F55" s="19"/>
      <c r="G55" s="19"/>
    </row>
    <row r="56" spans="1:7" x14ac:dyDescent="0.25">
      <c r="A56" s="11" t="s">
        <v>47</v>
      </c>
      <c r="B56" s="13">
        <v>0</v>
      </c>
      <c r="C56" s="13">
        <v>12365.87</v>
      </c>
      <c r="D56" s="13">
        <v>78666.33</v>
      </c>
      <c r="E56" s="13">
        <v>1694.71</v>
      </c>
      <c r="F56" s="13">
        <v>60637.5</v>
      </c>
      <c r="G56" s="13">
        <v>0</v>
      </c>
    </row>
    <row r="57" spans="1:7" x14ac:dyDescent="0.25">
      <c r="A57" s="11" t="s">
        <v>48</v>
      </c>
      <c r="B57" s="14">
        <v>0</v>
      </c>
      <c r="C57" s="14">
        <v>0</v>
      </c>
      <c r="D57" s="14">
        <v>0</v>
      </c>
      <c r="E57" s="14">
        <v>117654.78</v>
      </c>
      <c r="F57" s="14">
        <v>56480</v>
      </c>
      <c r="G57" s="14">
        <v>0</v>
      </c>
    </row>
    <row r="58" spans="1:7" x14ac:dyDescent="0.25">
      <c r="A58" s="11" t="s">
        <v>49</v>
      </c>
      <c r="B58" s="15">
        <v>0</v>
      </c>
      <c r="C58" s="15">
        <v>0</v>
      </c>
      <c r="D58" s="15">
        <v>0</v>
      </c>
      <c r="E58" s="15">
        <v>0</v>
      </c>
      <c r="F58" s="15">
        <v>0</v>
      </c>
      <c r="G58" s="15">
        <v>0</v>
      </c>
    </row>
    <row r="59" spans="1:7" x14ac:dyDescent="0.25">
      <c r="A59" s="11" t="s">
        <v>50</v>
      </c>
      <c r="B59" s="15">
        <v>0</v>
      </c>
      <c r="C59" s="15">
        <v>0</v>
      </c>
      <c r="D59" s="15">
        <v>0</v>
      </c>
      <c r="E59" s="15">
        <v>0</v>
      </c>
      <c r="F59" s="15">
        <v>0</v>
      </c>
      <c r="G59" s="15">
        <v>0</v>
      </c>
    </row>
    <row r="60" spans="1:7" x14ac:dyDescent="0.25">
      <c r="A60" s="11" t="s">
        <v>51</v>
      </c>
      <c r="B60" s="15">
        <v>0</v>
      </c>
      <c r="C60" s="15">
        <v>0</v>
      </c>
      <c r="D60" s="15">
        <v>0</v>
      </c>
      <c r="E60" s="15">
        <v>0</v>
      </c>
      <c r="F60" s="15">
        <v>0</v>
      </c>
      <c r="G60" s="15">
        <v>0</v>
      </c>
    </row>
    <row r="61" spans="1:7" x14ac:dyDescent="0.25">
      <c r="A61" s="11" t="s">
        <v>52</v>
      </c>
      <c r="B61" s="15">
        <v>442853.6935264889</v>
      </c>
      <c r="C61" s="15">
        <v>204015.84000000003</v>
      </c>
      <c r="D61" s="15">
        <v>188647.77</v>
      </c>
      <c r="E61" s="15">
        <v>157831.88000000003</v>
      </c>
      <c r="F61" s="15">
        <v>207250.13076923077</v>
      </c>
      <c r="G61" s="15">
        <v>199574.2</v>
      </c>
    </row>
    <row r="62" spans="1:7" x14ac:dyDescent="0.25">
      <c r="A62" s="11" t="s">
        <v>53</v>
      </c>
      <c r="B62" s="15">
        <v>111785.60645099031</v>
      </c>
      <c r="C62" s="15">
        <v>109692.06</v>
      </c>
      <c r="D62" s="15">
        <v>83056.509999999995</v>
      </c>
      <c r="E62" s="15">
        <v>25825.58</v>
      </c>
      <c r="F62" s="15">
        <v>24345.300000000003</v>
      </c>
      <c r="G62" s="15">
        <v>26840.693249999997</v>
      </c>
    </row>
    <row r="63" spans="1:7" x14ac:dyDescent="0.25">
      <c r="A63" s="11" t="s">
        <v>54</v>
      </c>
      <c r="B63" s="15">
        <v>0</v>
      </c>
      <c r="C63" s="15">
        <v>0</v>
      </c>
      <c r="D63" s="15">
        <v>0</v>
      </c>
      <c r="E63" s="15">
        <v>0</v>
      </c>
      <c r="F63" s="15">
        <v>12082</v>
      </c>
      <c r="G63" s="15">
        <v>0</v>
      </c>
    </row>
    <row r="64" spans="1:7" x14ac:dyDescent="0.25">
      <c r="A64" s="11" t="s">
        <v>55</v>
      </c>
      <c r="B64" s="15">
        <v>0</v>
      </c>
      <c r="C64" s="15">
        <v>0</v>
      </c>
      <c r="D64" s="15">
        <v>72839.00999999998</v>
      </c>
      <c r="E64" s="15">
        <v>150081.96</v>
      </c>
      <c r="F64" s="15">
        <v>106387.8</v>
      </c>
      <c r="G64" s="15">
        <v>91219</v>
      </c>
    </row>
    <row r="65" spans="1:9" x14ac:dyDescent="0.25">
      <c r="A65" s="11" t="s">
        <v>56</v>
      </c>
      <c r="B65" s="15">
        <v>55377.812009237008</v>
      </c>
      <c r="C65" s="15">
        <v>121205.98999999999</v>
      </c>
      <c r="D65" s="15">
        <v>180966.05</v>
      </c>
      <c r="E65" s="15">
        <v>226957.97000000003</v>
      </c>
      <c r="F65" s="15">
        <v>141000</v>
      </c>
      <c r="G65" s="15">
        <v>142410</v>
      </c>
      <c r="H65" s="1"/>
      <c r="I65" s="1"/>
    </row>
    <row r="66" spans="1:9" x14ac:dyDescent="0.25">
      <c r="A66" s="11" t="s">
        <v>57</v>
      </c>
      <c r="B66" s="15">
        <v>1083360.1080132839</v>
      </c>
      <c r="C66" s="15">
        <v>0</v>
      </c>
      <c r="D66" s="15">
        <v>0</v>
      </c>
      <c r="E66" s="15">
        <v>0</v>
      </c>
      <c r="F66" s="15">
        <v>0</v>
      </c>
      <c r="G66" s="15">
        <v>0</v>
      </c>
      <c r="H66" s="1"/>
      <c r="I66" s="1"/>
    </row>
    <row r="67" spans="1:9" x14ac:dyDescent="0.25">
      <c r="A67" s="11" t="s">
        <v>58</v>
      </c>
      <c r="B67" s="15">
        <v>-400825.75</v>
      </c>
      <c r="C67" s="15">
        <v>0</v>
      </c>
      <c r="D67" s="15">
        <v>-106047.58000000002</v>
      </c>
      <c r="E67" s="15">
        <v>64481</v>
      </c>
      <c r="F67" s="15">
        <v>0</v>
      </c>
      <c r="G67" s="15">
        <v>0</v>
      </c>
      <c r="H67" s="1"/>
      <c r="I67" s="1"/>
    </row>
    <row r="68" spans="1:9" x14ac:dyDescent="0.25">
      <c r="A68" s="11" t="s">
        <v>59</v>
      </c>
      <c r="B68" s="15">
        <v>0</v>
      </c>
      <c r="C68" s="15">
        <v>0</v>
      </c>
      <c r="D68" s="15">
        <v>29874.899999999994</v>
      </c>
      <c r="E68" s="15">
        <v>0.35000000000582077</v>
      </c>
      <c r="F68" s="15">
        <v>0</v>
      </c>
      <c r="G68" s="15">
        <v>0</v>
      </c>
      <c r="H68" s="1"/>
      <c r="I68" s="1"/>
    </row>
    <row r="69" spans="1:9" x14ac:dyDescent="0.25">
      <c r="A69" s="16" t="s">
        <v>25</v>
      </c>
      <c r="B69" s="17">
        <v>1292551.4700000002</v>
      </c>
      <c r="C69" s="17">
        <v>447279.76</v>
      </c>
      <c r="D69" s="17">
        <v>528002.98999999987</v>
      </c>
      <c r="E69" s="17">
        <v>744528.2300000001</v>
      </c>
      <c r="F69" s="17">
        <v>608182.73076923075</v>
      </c>
      <c r="G69" s="17">
        <v>460043.89325000002</v>
      </c>
      <c r="H69" s="1"/>
      <c r="I69" s="1"/>
    </row>
    <row r="70" spans="1:9" x14ac:dyDescent="0.25">
      <c r="A70" s="18" t="s">
        <v>60</v>
      </c>
      <c r="B70" s="19"/>
      <c r="C70" s="19"/>
      <c r="D70" s="19"/>
      <c r="E70" s="19"/>
      <c r="F70" s="19"/>
      <c r="G70" s="19"/>
      <c r="H70" s="1"/>
      <c r="I70" s="1"/>
    </row>
    <row r="71" spans="1:9" x14ac:dyDescent="0.25">
      <c r="A71" s="11" t="s">
        <v>61</v>
      </c>
      <c r="B71" s="13">
        <v>37018</v>
      </c>
      <c r="C71" s="13">
        <v>61318.51</v>
      </c>
      <c r="D71" s="13">
        <v>23922.880000000005</v>
      </c>
      <c r="E71" s="13">
        <v>127.63</v>
      </c>
      <c r="F71" s="13">
        <v>76400</v>
      </c>
      <c r="G71" s="13">
        <v>113800</v>
      </c>
      <c r="H71" s="1"/>
      <c r="I71" s="1"/>
    </row>
    <row r="72" spans="1:9" x14ac:dyDescent="0.25">
      <c r="A72" s="11" t="s">
        <v>62</v>
      </c>
      <c r="B72" s="14">
        <v>0</v>
      </c>
      <c r="C72" s="14">
        <v>0</v>
      </c>
      <c r="D72" s="14">
        <v>0</v>
      </c>
      <c r="E72" s="14">
        <v>0</v>
      </c>
      <c r="F72" s="14">
        <v>0</v>
      </c>
      <c r="G72" s="14">
        <v>0</v>
      </c>
      <c r="H72" s="1"/>
      <c r="I72" s="1"/>
    </row>
    <row r="73" spans="1:9" x14ac:dyDescent="0.25">
      <c r="A73" s="11" t="s">
        <v>63</v>
      </c>
      <c r="B73" s="15">
        <v>676969</v>
      </c>
      <c r="C73" s="15">
        <v>408800.49</v>
      </c>
      <c r="D73" s="15">
        <v>653789</v>
      </c>
      <c r="E73" s="15">
        <v>584243.46</v>
      </c>
      <c r="F73" s="15">
        <v>0</v>
      </c>
      <c r="G73" s="15">
        <v>0</v>
      </c>
      <c r="H73" s="1"/>
      <c r="I73" s="25"/>
    </row>
    <row r="74" spans="1:9" x14ac:dyDescent="0.25">
      <c r="A74" s="11" t="s">
        <v>64</v>
      </c>
      <c r="B74" s="15">
        <v>0</v>
      </c>
      <c r="C74" s="15">
        <v>0</v>
      </c>
      <c r="D74" s="15">
        <v>130873.1</v>
      </c>
      <c r="E74" s="15">
        <v>172824.68</v>
      </c>
      <c r="F74" s="15">
        <v>195858.45</v>
      </c>
      <c r="G74" s="15">
        <v>130503.20000000001</v>
      </c>
      <c r="H74" s="1"/>
      <c r="I74" s="1"/>
    </row>
    <row r="75" spans="1:9" x14ac:dyDescent="0.25">
      <c r="A75" s="11" t="s">
        <v>65</v>
      </c>
      <c r="B75" s="15">
        <v>0</v>
      </c>
      <c r="C75" s="15">
        <v>0</v>
      </c>
      <c r="D75" s="15">
        <v>0</v>
      </c>
      <c r="E75" s="15">
        <v>0</v>
      </c>
      <c r="F75" s="15">
        <v>112000</v>
      </c>
      <c r="G75" s="15">
        <v>112000</v>
      </c>
      <c r="H75" s="1"/>
      <c r="I75" s="1"/>
    </row>
    <row r="76" spans="1:9" x14ac:dyDescent="0.25">
      <c r="A76" s="11" t="s">
        <v>66</v>
      </c>
      <c r="B76" s="15">
        <v>0</v>
      </c>
      <c r="C76" s="15">
        <v>51125.219999999994</v>
      </c>
      <c r="D76" s="15">
        <v>28415.390000000003</v>
      </c>
      <c r="E76" s="15">
        <v>703833.85000000009</v>
      </c>
      <c r="F76" s="15">
        <v>0</v>
      </c>
      <c r="G76" s="15">
        <v>0</v>
      </c>
      <c r="H76" s="1"/>
      <c r="I76" s="1"/>
    </row>
    <row r="77" spans="1:9" x14ac:dyDescent="0.25">
      <c r="A77" s="16" t="s">
        <v>25</v>
      </c>
      <c r="B77" s="17">
        <v>713987</v>
      </c>
      <c r="C77" s="17">
        <v>521244.22</v>
      </c>
      <c r="D77" s="17">
        <v>837000.37</v>
      </c>
      <c r="E77" s="17">
        <v>1461029.62</v>
      </c>
      <c r="F77" s="17">
        <v>384258.45</v>
      </c>
      <c r="G77" s="17">
        <v>356303.2</v>
      </c>
      <c r="H77" s="1"/>
      <c r="I77" s="1"/>
    </row>
    <row r="78" spans="1:9" x14ac:dyDescent="0.25">
      <c r="A78" s="18" t="s">
        <v>67</v>
      </c>
      <c r="B78" s="19"/>
      <c r="C78" s="19"/>
      <c r="D78" s="19"/>
      <c r="E78" s="19"/>
      <c r="F78" s="19"/>
      <c r="G78" s="19"/>
      <c r="H78" s="1"/>
      <c r="I78" s="1"/>
    </row>
    <row r="79" spans="1:9" x14ac:dyDescent="0.25">
      <c r="A79" s="11" t="s">
        <v>68</v>
      </c>
      <c r="B79" s="31">
        <v>0</v>
      </c>
      <c r="C79" s="31">
        <v>0</v>
      </c>
      <c r="D79" s="31">
        <v>0</v>
      </c>
      <c r="E79" s="31">
        <v>0</v>
      </c>
      <c r="F79" s="31">
        <v>0</v>
      </c>
      <c r="G79" s="31">
        <v>0</v>
      </c>
      <c r="H79" s="1"/>
      <c r="I79" s="1"/>
    </row>
    <row r="80" spans="1:9" x14ac:dyDescent="0.25">
      <c r="A80" s="11" t="s">
        <v>69</v>
      </c>
      <c r="B80" s="26">
        <v>181500</v>
      </c>
      <c r="C80" s="26">
        <v>163491.47999999998</v>
      </c>
      <c r="D80" s="26">
        <v>108174.86</v>
      </c>
      <c r="E80" s="26">
        <v>795.5100000000001</v>
      </c>
      <c r="F80" s="26">
        <v>20000</v>
      </c>
      <c r="G80" s="26">
        <v>0</v>
      </c>
      <c r="H80" s="1"/>
      <c r="I80" s="1"/>
    </row>
    <row r="81" spans="1:8" x14ac:dyDescent="0.25">
      <c r="A81" s="11" t="s">
        <v>70</v>
      </c>
      <c r="B81" s="30">
        <v>123836.46</v>
      </c>
      <c r="C81" s="30">
        <v>176849.29</v>
      </c>
      <c r="D81" s="30">
        <v>118016.59000000001</v>
      </c>
      <c r="E81" s="30">
        <v>399908.76</v>
      </c>
      <c r="F81" s="30">
        <v>400000</v>
      </c>
      <c r="G81" s="30">
        <v>325000</v>
      </c>
      <c r="H81" s="1"/>
    </row>
    <row r="82" spans="1:8" x14ac:dyDescent="0.25">
      <c r="A82" s="11" t="s">
        <v>71</v>
      </c>
      <c r="B82" s="30">
        <v>114035.59000000001</v>
      </c>
      <c r="C82" s="30">
        <v>10605.29</v>
      </c>
      <c r="D82" s="30">
        <v>21277.16</v>
      </c>
      <c r="E82" s="30">
        <v>6733.42</v>
      </c>
      <c r="F82" s="30">
        <v>92000</v>
      </c>
      <c r="G82" s="30">
        <v>35800</v>
      </c>
      <c r="H82" s="1"/>
    </row>
    <row r="83" spans="1:8" x14ac:dyDescent="0.25">
      <c r="A83" s="11" t="s">
        <v>72</v>
      </c>
      <c r="B83" s="30">
        <v>0</v>
      </c>
      <c r="C83" s="30">
        <v>0</v>
      </c>
      <c r="D83" s="30">
        <v>0</v>
      </c>
      <c r="E83" s="30">
        <v>0</v>
      </c>
      <c r="F83" s="30">
        <v>0</v>
      </c>
      <c r="G83" s="30">
        <v>0</v>
      </c>
      <c r="H83" s="1"/>
    </row>
    <row r="84" spans="1:8" x14ac:dyDescent="0.25">
      <c r="A84" s="11" t="s">
        <v>73</v>
      </c>
      <c r="B84" s="30">
        <v>0</v>
      </c>
      <c r="C84" s="30">
        <v>0</v>
      </c>
      <c r="D84" s="30">
        <v>0</v>
      </c>
      <c r="E84" s="30">
        <v>0</v>
      </c>
      <c r="F84" s="30">
        <v>845907.20400000003</v>
      </c>
      <c r="G84" s="30">
        <v>0</v>
      </c>
      <c r="H84" s="1"/>
    </row>
    <row r="85" spans="1:8" x14ac:dyDescent="0.25">
      <c r="A85" s="11" t="s">
        <v>74</v>
      </c>
      <c r="B85" s="26">
        <v>0</v>
      </c>
      <c r="C85" s="26">
        <v>0</v>
      </c>
      <c r="D85" s="26">
        <v>0</v>
      </c>
      <c r="E85" s="26">
        <v>0</v>
      </c>
      <c r="F85" s="26">
        <v>0</v>
      </c>
      <c r="G85" s="26">
        <v>682148.9634492622</v>
      </c>
      <c r="H85" s="1"/>
    </row>
    <row r="86" spans="1:8" x14ac:dyDescent="0.25">
      <c r="A86" s="11" t="s">
        <v>75</v>
      </c>
      <c r="B86" s="26">
        <v>0</v>
      </c>
      <c r="C86" s="26">
        <v>0</v>
      </c>
      <c r="D86" s="26">
        <v>0</v>
      </c>
      <c r="E86" s="26">
        <v>0</v>
      </c>
      <c r="F86" s="26">
        <v>0</v>
      </c>
      <c r="G86" s="26">
        <v>239904</v>
      </c>
      <c r="H86" s="1"/>
    </row>
    <row r="87" spans="1:8" x14ac:dyDescent="0.25">
      <c r="A87" s="11" t="s">
        <v>76</v>
      </c>
      <c r="B87" s="26">
        <v>0</v>
      </c>
      <c r="C87" s="26">
        <v>0</v>
      </c>
      <c r="D87" s="26">
        <v>0</v>
      </c>
      <c r="E87" s="26">
        <v>0</v>
      </c>
      <c r="F87" s="26">
        <v>0</v>
      </c>
      <c r="G87" s="26">
        <v>0</v>
      </c>
      <c r="H87" s="1"/>
    </row>
    <row r="88" spans="1:8" x14ac:dyDescent="0.25">
      <c r="A88" s="11" t="s">
        <v>77</v>
      </c>
      <c r="B88" s="26">
        <v>0</v>
      </c>
      <c r="C88" s="26">
        <v>0</v>
      </c>
      <c r="D88" s="26">
        <v>0</v>
      </c>
      <c r="E88" s="26">
        <v>0</v>
      </c>
      <c r="F88" s="26">
        <v>0</v>
      </c>
      <c r="G88" s="26">
        <v>0</v>
      </c>
      <c r="H88" s="1"/>
    </row>
    <row r="89" spans="1:8" x14ac:dyDescent="0.25">
      <c r="A89" s="11" t="s">
        <v>78</v>
      </c>
      <c r="B89" s="26">
        <v>0</v>
      </c>
      <c r="C89" s="26">
        <v>0</v>
      </c>
      <c r="D89" s="26">
        <v>0</v>
      </c>
      <c r="E89" s="26">
        <v>0</v>
      </c>
      <c r="F89" s="26">
        <v>0</v>
      </c>
      <c r="G89" s="26">
        <v>0</v>
      </c>
      <c r="H89" s="1"/>
    </row>
    <row r="90" spans="1:8" x14ac:dyDescent="0.25">
      <c r="A90" s="16" t="s">
        <v>25</v>
      </c>
      <c r="B90" s="17">
        <v>419372.05000000005</v>
      </c>
      <c r="C90" s="17">
        <v>350946.06</v>
      </c>
      <c r="D90" s="17">
        <v>247468.61000000002</v>
      </c>
      <c r="E90" s="17">
        <v>407437.69</v>
      </c>
      <c r="F90" s="17">
        <v>1357907.2039999999</v>
      </c>
      <c r="G90" s="17">
        <v>1282852.9634492621</v>
      </c>
      <c r="H90" s="1"/>
    </row>
    <row r="91" spans="1:8" ht="15.75" thickBot="1" x14ac:dyDescent="0.3">
      <c r="A91" s="18" t="s">
        <v>79</v>
      </c>
      <c r="B91" s="14">
        <v>14856.24</v>
      </c>
      <c r="C91" s="14">
        <v>135696.06</v>
      </c>
      <c r="D91" s="14">
        <v>79318.210000000006</v>
      </c>
      <c r="E91" s="14">
        <v>216156.47000000003</v>
      </c>
      <c r="F91" s="14">
        <v>120687.5</v>
      </c>
      <c r="G91" s="14">
        <v>18771.752</v>
      </c>
      <c r="H91" s="1"/>
    </row>
    <row r="92" spans="1:8" ht="16.5" thickTop="1" thickBot="1" x14ac:dyDescent="0.3">
      <c r="A92" s="20" t="s">
        <v>80</v>
      </c>
      <c r="B92" s="21">
        <v>3944217.12</v>
      </c>
      <c r="C92" s="21">
        <v>2907857.47</v>
      </c>
      <c r="D92" s="21">
        <v>2794243.4299999997</v>
      </c>
      <c r="E92" s="21">
        <v>4111311.15</v>
      </c>
      <c r="F92" s="21">
        <v>3596698.0404302306</v>
      </c>
      <c r="G92" s="21">
        <v>3828988.1422891398</v>
      </c>
      <c r="H92" s="32"/>
    </row>
    <row r="93" spans="1:8" ht="26.25" thickBot="1" x14ac:dyDescent="0.3">
      <c r="A93" s="22" t="s">
        <v>81</v>
      </c>
      <c r="B93" s="26">
        <v>0</v>
      </c>
      <c r="C93" s="26">
        <v>0</v>
      </c>
      <c r="D93" s="26">
        <v>0</v>
      </c>
      <c r="E93" s="26">
        <v>0</v>
      </c>
      <c r="F93" s="26">
        <v>0</v>
      </c>
      <c r="G93" s="28">
        <v>0</v>
      </c>
      <c r="H93" s="1"/>
    </row>
    <row r="94" spans="1:8" ht="16.5" thickTop="1" thickBot="1" x14ac:dyDescent="0.3">
      <c r="A94" s="23" t="s">
        <v>80</v>
      </c>
      <c r="B94" s="21">
        <v>3944217.12</v>
      </c>
      <c r="C94" s="21">
        <v>2907857.47</v>
      </c>
      <c r="D94" s="21">
        <v>2794243.4299999997</v>
      </c>
      <c r="E94" s="21">
        <v>4111311.15</v>
      </c>
      <c r="F94" s="21">
        <v>3596698.0404302306</v>
      </c>
      <c r="G94" s="21">
        <v>3828988.1422891398</v>
      </c>
      <c r="H94" s="1"/>
    </row>
    <row r="96" spans="1:8" x14ac:dyDescent="0.25">
      <c r="A96" s="24" t="s">
        <v>82</v>
      </c>
      <c r="B96" s="1"/>
      <c r="C96" s="1"/>
      <c r="D96" s="1"/>
      <c r="E96" s="1"/>
      <c r="F96" s="1"/>
      <c r="G96" s="25"/>
      <c r="H96" s="1"/>
    </row>
    <row r="98" spans="1:9" x14ac:dyDescent="0.25">
      <c r="A98" s="1037" t="s">
        <v>83</v>
      </c>
      <c r="B98" s="1037"/>
      <c r="C98" s="1037"/>
      <c r="D98" s="1037"/>
      <c r="E98" s="1037"/>
      <c r="F98" s="1037"/>
      <c r="G98" s="1037"/>
      <c r="H98" s="1037"/>
      <c r="I98" s="1"/>
    </row>
    <row r="99" spans="1:9" x14ac:dyDescent="0.25">
      <c r="A99" s="1037" t="s">
        <v>84</v>
      </c>
      <c r="B99" s="1037"/>
      <c r="C99" s="1037"/>
      <c r="D99" s="1037"/>
      <c r="E99" s="1037"/>
      <c r="F99" s="1037"/>
      <c r="G99" s="1037"/>
      <c r="H99" s="1037"/>
      <c r="I99" s="29"/>
    </row>
    <row r="100" spans="1:9" x14ac:dyDescent="0.25">
      <c r="A100" s="1037"/>
      <c r="B100" s="1037"/>
      <c r="C100" s="1037"/>
      <c r="D100" s="1037"/>
      <c r="E100" s="1037"/>
      <c r="F100" s="1037"/>
      <c r="G100" s="1037"/>
      <c r="H100" s="1037"/>
      <c r="I100" s="1"/>
    </row>
    <row r="102" spans="1:9" x14ac:dyDescent="0.25">
      <c r="A102" s="1035"/>
      <c r="B102" s="1035"/>
      <c r="C102" s="1035"/>
      <c r="D102" s="1035"/>
      <c r="E102" s="1035"/>
      <c r="F102" s="1035"/>
      <c r="G102" s="1035"/>
      <c r="H102" s="1035"/>
      <c r="I102" s="1035"/>
    </row>
    <row r="103" spans="1:9" x14ac:dyDescent="0.25">
      <c r="A103" s="1035"/>
      <c r="B103" s="1035"/>
      <c r="C103" s="1035"/>
      <c r="D103" s="1035"/>
      <c r="E103" s="1035"/>
      <c r="F103" s="1035"/>
      <c r="G103" s="1035"/>
      <c r="H103" s="1035"/>
      <c r="I103" s="1035"/>
    </row>
    <row r="105" spans="1:9" x14ac:dyDescent="0.25">
      <c r="A105" s="2"/>
      <c r="B105" s="1"/>
      <c r="C105" s="1"/>
      <c r="D105" s="1"/>
      <c r="E105" s="1"/>
      <c r="F105" s="1"/>
      <c r="G105" s="1"/>
      <c r="H105" s="1"/>
      <c r="I105" s="1"/>
    </row>
  </sheetData>
  <customSheetViews>
    <customSheetView guid="{FEE3C04B-CD27-4551-A1CF-8272225D231B}" topLeftCell="A10">
      <selection activeCell="J25" sqref="J25"/>
      <pageMargins left="0.7" right="0.7" top="0.75" bottom="0.75" header="0.3" footer="0.3"/>
    </customSheetView>
    <customSheetView guid="{957A2981-C0FE-4A89-90AC-F40944F7258F}" topLeftCell="A10">
      <selection activeCell="J25" sqref="J25"/>
      <pageMargins left="0.7" right="0.7" top="0.75" bottom="0.75" header="0.3" footer="0.3"/>
    </customSheetView>
    <customSheetView guid="{AE01795C-0F1A-4D22-B411-4CB1D681CFC8}" topLeftCell="A10">
      <selection activeCell="J25" sqref="J25"/>
      <pageMargins left="0.7" right="0.7" top="0.75" bottom="0.75" header="0.3" footer="0.3"/>
    </customSheetView>
  </customSheetViews>
  <mergeCells count="7">
    <mergeCell ref="A12:H12"/>
    <mergeCell ref="A102:I103"/>
    <mergeCell ref="A10:H10"/>
    <mergeCell ref="A9:H9"/>
    <mergeCell ref="A98:H98"/>
    <mergeCell ref="A100:H100"/>
    <mergeCell ref="A99:H9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N1" sqref="N1:N1048576"/>
    </sheetView>
  </sheetViews>
  <sheetFormatPr defaultRowHeight="15" x14ac:dyDescent="0.25"/>
  <cols>
    <col min="3" max="3" width="9.7109375" bestFit="1" customWidth="1"/>
    <col min="5" max="5" width="9.7109375" bestFit="1" customWidth="1"/>
    <col min="7" max="7" width="9.7109375" bestFit="1" customWidth="1"/>
    <col min="9" max="9" width="9.7109375" bestFit="1" customWidth="1"/>
    <col min="11" max="13" width="9.7109375" bestFit="1" customWidth="1"/>
    <col min="14" max="14" width="12.7109375" bestFit="1" customWidth="1"/>
    <col min="15" max="15" width="9.7109375" bestFit="1" customWidth="1"/>
  </cols>
  <sheetData>
    <row r="1" spans="1:16" x14ac:dyDescent="0.25">
      <c r="A1" s="34"/>
      <c r="B1" s="34"/>
      <c r="C1" s="34"/>
      <c r="D1" s="34"/>
      <c r="E1" s="34"/>
      <c r="F1" s="34"/>
      <c r="G1" s="34"/>
      <c r="H1" s="34"/>
      <c r="I1" s="34"/>
      <c r="J1" s="34"/>
      <c r="K1" s="34"/>
      <c r="L1" s="34"/>
      <c r="M1" s="34"/>
      <c r="N1" s="35" t="s">
        <v>0</v>
      </c>
      <c r="O1" s="34"/>
      <c r="P1" s="36">
        <v>0</v>
      </c>
    </row>
    <row r="2" spans="1:16" x14ac:dyDescent="0.25">
      <c r="A2" s="34"/>
      <c r="B2" s="34"/>
      <c r="C2" s="34"/>
      <c r="D2" s="34"/>
      <c r="E2" s="34"/>
      <c r="F2" s="34"/>
      <c r="G2" s="34"/>
      <c r="H2" s="34"/>
      <c r="I2" s="34"/>
      <c r="J2" s="34"/>
      <c r="K2" s="34"/>
      <c r="L2" s="34"/>
      <c r="M2" s="34"/>
      <c r="N2" s="35" t="s">
        <v>1</v>
      </c>
      <c r="O2" s="34"/>
      <c r="P2" s="37"/>
    </row>
    <row r="3" spans="1:16" x14ac:dyDescent="0.25">
      <c r="A3" s="34"/>
      <c r="B3" s="34"/>
      <c r="C3" s="34"/>
      <c r="D3" s="34"/>
      <c r="E3" s="34"/>
      <c r="F3" s="34"/>
      <c r="G3" s="34"/>
      <c r="H3" s="34"/>
      <c r="I3" s="34"/>
      <c r="J3" s="34"/>
      <c r="K3" s="34"/>
      <c r="L3" s="34"/>
      <c r="M3" s="34"/>
      <c r="N3" s="35" t="s">
        <v>2</v>
      </c>
      <c r="O3" s="34"/>
      <c r="P3" s="37"/>
    </row>
    <row r="4" spans="1:16" x14ac:dyDescent="0.25">
      <c r="A4" s="34"/>
      <c r="B4" s="34"/>
      <c r="C4" s="34"/>
      <c r="D4" s="34"/>
      <c r="E4" s="34"/>
      <c r="F4" s="34"/>
      <c r="G4" s="34"/>
      <c r="H4" s="34"/>
      <c r="I4" s="34"/>
      <c r="J4" s="34"/>
      <c r="K4" s="34"/>
      <c r="L4" s="34"/>
      <c r="M4" s="34"/>
      <c r="N4" s="35" t="s">
        <v>3</v>
      </c>
      <c r="O4" s="34"/>
      <c r="P4" s="37"/>
    </row>
    <row r="5" spans="1:16" x14ac:dyDescent="0.25">
      <c r="A5" s="34"/>
      <c r="B5" s="34"/>
      <c r="C5" s="34"/>
      <c r="D5" s="34"/>
      <c r="E5" s="34"/>
      <c r="F5" s="34"/>
      <c r="G5" s="34"/>
      <c r="H5" s="34"/>
      <c r="I5" s="34"/>
      <c r="J5" s="34"/>
      <c r="K5" s="34"/>
      <c r="L5" s="34"/>
      <c r="M5" s="34"/>
      <c r="N5" s="35" t="s">
        <v>4</v>
      </c>
      <c r="O5" s="34"/>
      <c r="P5" s="38"/>
    </row>
    <row r="6" spans="1:16" x14ac:dyDescent="0.25">
      <c r="A6" s="34"/>
      <c r="B6" s="34"/>
      <c r="C6" s="34"/>
      <c r="D6" s="34"/>
      <c r="E6" s="34"/>
      <c r="F6" s="34"/>
      <c r="G6" s="34"/>
      <c r="H6" s="34"/>
      <c r="I6" s="34"/>
      <c r="J6" s="34"/>
      <c r="K6" s="34"/>
      <c r="L6" s="34"/>
      <c r="M6" s="34"/>
      <c r="N6" s="35"/>
      <c r="O6" s="34"/>
      <c r="P6" s="36"/>
    </row>
    <row r="7" spans="1:16" x14ac:dyDescent="0.25">
      <c r="A7" s="34"/>
      <c r="B7" s="34"/>
      <c r="C7" s="34"/>
      <c r="D7" s="34"/>
      <c r="E7" s="34"/>
      <c r="F7" s="34"/>
      <c r="G7" s="34"/>
      <c r="H7" s="34"/>
      <c r="I7" s="34"/>
      <c r="J7" s="34"/>
      <c r="K7" s="34"/>
      <c r="L7" s="34"/>
      <c r="M7" s="34"/>
      <c r="N7" s="35" t="s">
        <v>5</v>
      </c>
      <c r="O7" s="34"/>
      <c r="P7" s="38"/>
    </row>
    <row r="9" spans="1:16" ht="18" x14ac:dyDescent="0.25">
      <c r="A9" s="1043" t="s">
        <v>85</v>
      </c>
      <c r="B9" s="1043"/>
      <c r="C9" s="1043"/>
      <c r="D9" s="1043"/>
      <c r="E9" s="1043"/>
      <c r="F9" s="1043"/>
      <c r="G9" s="1043"/>
      <c r="H9" s="1043"/>
      <c r="I9" s="1043"/>
      <c r="J9" s="1043"/>
      <c r="K9" s="1043"/>
      <c r="L9" s="1043"/>
      <c r="M9" s="1043"/>
      <c r="N9" s="1043"/>
      <c r="O9" s="1043"/>
      <c r="P9" s="1043"/>
    </row>
    <row r="10" spans="1:16" ht="18" x14ac:dyDescent="0.25">
      <c r="A10" s="1044" t="s">
        <v>86</v>
      </c>
      <c r="B10" s="1044"/>
      <c r="C10" s="1044"/>
      <c r="D10" s="1044"/>
      <c r="E10" s="1044"/>
      <c r="F10" s="1044"/>
      <c r="G10" s="1044"/>
      <c r="H10" s="1044"/>
      <c r="I10" s="1044"/>
      <c r="J10" s="1044"/>
      <c r="K10" s="1044"/>
      <c r="L10" s="1044"/>
      <c r="M10" s="1044"/>
      <c r="N10" s="1044"/>
      <c r="O10" s="1044"/>
      <c r="P10" s="1044"/>
    </row>
    <row r="12" spans="1:16" ht="16.5" thickBot="1" x14ac:dyDescent="0.3">
      <c r="A12" s="40" t="s">
        <v>87</v>
      </c>
      <c r="B12" s="41">
        <v>2017</v>
      </c>
      <c r="C12" s="34"/>
      <c r="D12" s="34"/>
      <c r="E12" s="34"/>
      <c r="F12" s="34"/>
      <c r="G12" s="34"/>
      <c r="H12" s="34"/>
      <c r="I12" s="34"/>
      <c r="J12" s="34"/>
      <c r="K12" s="34"/>
      <c r="L12" s="34"/>
      <c r="M12" s="34"/>
      <c r="N12" s="34"/>
      <c r="O12" s="34"/>
      <c r="P12" s="34"/>
    </row>
    <row r="13" spans="1:16" ht="16.5" thickTop="1" thickBot="1" x14ac:dyDescent="0.3">
      <c r="A13" s="1058" t="s">
        <v>88</v>
      </c>
      <c r="B13" s="1061" t="s">
        <v>89</v>
      </c>
      <c r="C13" s="1062"/>
      <c r="D13" s="1062"/>
      <c r="E13" s="1062"/>
      <c r="F13" s="1062"/>
      <c r="G13" s="1062"/>
      <c r="H13" s="1062"/>
      <c r="I13" s="1062"/>
      <c r="J13" s="1062"/>
      <c r="K13" s="1062"/>
      <c r="L13" s="1045" t="s">
        <v>90</v>
      </c>
      <c r="M13" s="1046"/>
      <c r="N13" s="1046"/>
      <c r="O13" s="1063"/>
      <c r="P13" s="42"/>
    </row>
    <row r="14" spans="1:16" ht="15.75" thickBot="1" x14ac:dyDescent="0.3">
      <c r="A14" s="1059"/>
      <c r="B14" s="1045">
        <v>2012</v>
      </c>
      <c r="C14" s="1046"/>
      <c r="D14" s="1045">
        <v>2013</v>
      </c>
      <c r="E14" s="1046"/>
      <c r="F14" s="1045">
        <v>2014</v>
      </c>
      <c r="G14" s="1046"/>
      <c r="H14" s="1045">
        <v>2015</v>
      </c>
      <c r="I14" s="1046"/>
      <c r="J14" s="1045">
        <v>2016</v>
      </c>
      <c r="K14" s="1046"/>
      <c r="L14" s="1047">
        <v>2017</v>
      </c>
      <c r="M14" s="1047">
        <v>2018</v>
      </c>
      <c r="N14" s="1047">
        <v>2019</v>
      </c>
      <c r="O14" s="1047">
        <v>2020</v>
      </c>
      <c r="P14" s="42"/>
    </row>
    <row r="15" spans="1:16" ht="15.75" thickBot="1" x14ac:dyDescent="0.3">
      <c r="A15" s="1059"/>
      <c r="B15" s="43" t="s">
        <v>91</v>
      </c>
      <c r="C15" s="43" t="s">
        <v>92</v>
      </c>
      <c r="D15" s="43" t="s">
        <v>91</v>
      </c>
      <c r="E15" s="44" t="s">
        <v>92</v>
      </c>
      <c r="F15" s="44" t="s">
        <v>91</v>
      </c>
      <c r="G15" s="44" t="s">
        <v>92</v>
      </c>
      <c r="H15" s="43" t="s">
        <v>91</v>
      </c>
      <c r="I15" s="43" t="s">
        <v>92</v>
      </c>
      <c r="J15" s="44" t="s">
        <v>91</v>
      </c>
      <c r="K15" s="44" t="s">
        <v>93</v>
      </c>
      <c r="L15" s="1048"/>
      <c r="M15" s="1048"/>
      <c r="N15" s="1048"/>
      <c r="O15" s="1048"/>
      <c r="P15" s="42"/>
    </row>
    <row r="16" spans="1:16" ht="15.75" thickBot="1" x14ac:dyDescent="0.3">
      <c r="A16" s="1060"/>
      <c r="B16" s="1038" t="s">
        <v>94</v>
      </c>
      <c r="C16" s="1039"/>
      <c r="D16" s="1038" t="s">
        <v>94</v>
      </c>
      <c r="E16" s="1039"/>
      <c r="F16" s="1038" t="s">
        <v>94</v>
      </c>
      <c r="G16" s="1039"/>
      <c r="H16" s="1038" t="s">
        <v>94</v>
      </c>
      <c r="I16" s="1039"/>
      <c r="J16" s="1038" t="s">
        <v>94</v>
      </c>
      <c r="K16" s="1039"/>
      <c r="L16" s="1040" t="s">
        <v>94</v>
      </c>
      <c r="M16" s="1041"/>
      <c r="N16" s="1041"/>
      <c r="O16" s="1042"/>
      <c r="P16" s="42"/>
    </row>
    <row r="17" spans="1:16" ht="24.75" thickBot="1" x14ac:dyDescent="0.3">
      <c r="A17" s="50" t="s">
        <v>14</v>
      </c>
      <c r="B17" s="51" t="s">
        <v>95</v>
      </c>
      <c r="C17" s="52">
        <v>1503450.25</v>
      </c>
      <c r="D17" s="51" t="s">
        <v>95</v>
      </c>
      <c r="E17" s="53">
        <v>1452691.3700000006</v>
      </c>
      <c r="F17" s="51" t="s">
        <v>95</v>
      </c>
      <c r="G17" s="53">
        <v>1098678.42</v>
      </c>
      <c r="H17" s="51" t="s">
        <v>95</v>
      </c>
      <c r="I17" s="52">
        <v>1282159.1399999997</v>
      </c>
      <c r="J17" s="51" t="s">
        <v>95</v>
      </c>
      <c r="K17" s="53">
        <v>1200662.1556609999</v>
      </c>
      <c r="L17" s="52">
        <v>1711016.3335898775</v>
      </c>
      <c r="M17" s="52">
        <v>2108207.4149058806</v>
      </c>
      <c r="N17" s="52">
        <v>3525912.4662254127</v>
      </c>
      <c r="O17" s="52">
        <v>2341333.456628832</v>
      </c>
      <c r="P17" s="42"/>
    </row>
    <row r="18" spans="1:16" ht="36.75" thickBot="1" x14ac:dyDescent="0.3">
      <c r="A18" s="50" t="s">
        <v>46</v>
      </c>
      <c r="B18" s="51" t="s">
        <v>95</v>
      </c>
      <c r="C18" s="52">
        <v>1292551.4700000002</v>
      </c>
      <c r="D18" s="51" t="s">
        <v>95</v>
      </c>
      <c r="E18" s="53">
        <v>447279.76</v>
      </c>
      <c r="F18" s="51" t="s">
        <v>95</v>
      </c>
      <c r="G18" s="53">
        <v>534238.05999999982</v>
      </c>
      <c r="H18" s="51" t="s">
        <v>95</v>
      </c>
      <c r="I18" s="52">
        <v>744528.2300000001</v>
      </c>
      <c r="J18" s="51" t="s">
        <v>95</v>
      </c>
      <c r="K18" s="53">
        <v>608182.73076923075</v>
      </c>
      <c r="L18" s="52">
        <v>460044.26824999996</v>
      </c>
      <c r="M18" s="52">
        <v>525205.83882735576</v>
      </c>
      <c r="N18" s="52">
        <v>843801.41633720789</v>
      </c>
      <c r="O18" s="52">
        <v>696547.68701928365</v>
      </c>
      <c r="P18" s="42"/>
    </row>
    <row r="19" spans="1:16" ht="24.75" thickBot="1" x14ac:dyDescent="0.3">
      <c r="A19" s="50" t="s">
        <v>60</v>
      </c>
      <c r="B19" s="51" t="s">
        <v>95</v>
      </c>
      <c r="C19" s="52">
        <v>713987</v>
      </c>
      <c r="D19" s="51" t="s">
        <v>95</v>
      </c>
      <c r="E19" s="53">
        <v>553194.22</v>
      </c>
      <c r="F19" s="51" t="s">
        <v>95</v>
      </c>
      <c r="G19" s="53">
        <v>837000.37</v>
      </c>
      <c r="H19" s="51" t="s">
        <v>95</v>
      </c>
      <c r="I19" s="52">
        <v>1531275.5</v>
      </c>
      <c r="J19" s="51" t="s">
        <v>95</v>
      </c>
      <c r="K19" s="53">
        <v>403945.95</v>
      </c>
      <c r="L19" s="52">
        <v>345831.2</v>
      </c>
      <c r="M19" s="52">
        <v>592912</v>
      </c>
      <c r="N19" s="52">
        <v>159840</v>
      </c>
      <c r="O19" s="52">
        <v>208160</v>
      </c>
      <c r="P19" s="42"/>
    </row>
    <row r="20" spans="1:16" ht="24.75" thickBot="1" x14ac:dyDescent="0.3">
      <c r="A20" s="50" t="s">
        <v>67</v>
      </c>
      <c r="B20" s="51" t="s">
        <v>95</v>
      </c>
      <c r="C20" s="52">
        <v>434228.29000000004</v>
      </c>
      <c r="D20" s="51" t="s">
        <v>95</v>
      </c>
      <c r="E20" s="53">
        <v>454692.12</v>
      </c>
      <c r="F20" s="51" t="s">
        <v>95</v>
      </c>
      <c r="G20" s="53">
        <v>324326.75</v>
      </c>
      <c r="H20" s="51" t="s">
        <v>95</v>
      </c>
      <c r="I20" s="52">
        <v>553348.28</v>
      </c>
      <c r="J20" s="51" t="s">
        <v>95</v>
      </c>
      <c r="K20" s="53">
        <v>1383907.2039999999</v>
      </c>
      <c r="L20" s="52">
        <v>1312095.7154492622</v>
      </c>
      <c r="M20" s="52">
        <v>4252536</v>
      </c>
      <c r="N20" s="52">
        <v>808100</v>
      </c>
      <c r="O20" s="52">
        <v>235400</v>
      </c>
      <c r="P20" s="42"/>
    </row>
    <row r="21" spans="1:16" ht="36.75" thickBot="1" x14ac:dyDescent="0.3">
      <c r="A21" s="54" t="s">
        <v>96</v>
      </c>
      <c r="B21" s="55">
        <v>0</v>
      </c>
      <c r="C21" s="55">
        <v>3944217.0100000002</v>
      </c>
      <c r="D21" s="56">
        <v>0</v>
      </c>
      <c r="E21" s="56">
        <v>2907857.4700000007</v>
      </c>
      <c r="F21" s="56">
        <v>0</v>
      </c>
      <c r="G21" s="56">
        <v>2794243.5999999996</v>
      </c>
      <c r="H21" s="56">
        <v>0</v>
      </c>
      <c r="I21" s="56">
        <v>4111311.1499999994</v>
      </c>
      <c r="J21" s="56">
        <v>0</v>
      </c>
      <c r="K21" s="56">
        <v>3596698.0404302306</v>
      </c>
      <c r="L21" s="55">
        <v>3828987.5172891403</v>
      </c>
      <c r="M21" s="55">
        <v>7478861.2537332363</v>
      </c>
      <c r="N21" s="55">
        <v>5337653.8825626206</v>
      </c>
      <c r="O21" s="55">
        <v>3481441.1436481159</v>
      </c>
      <c r="P21" s="42"/>
    </row>
    <row r="22" spans="1:16" ht="48.75" thickTop="1" thickBot="1" x14ac:dyDescent="0.3">
      <c r="A22" s="45" t="s">
        <v>97</v>
      </c>
      <c r="B22" s="48"/>
      <c r="C22" s="48"/>
      <c r="D22" s="48"/>
      <c r="E22" s="49"/>
      <c r="F22" s="49"/>
      <c r="G22" s="49"/>
      <c r="H22" s="48"/>
      <c r="I22" s="48"/>
      <c r="J22" s="49"/>
      <c r="K22" s="49"/>
      <c r="L22" s="48"/>
      <c r="M22" s="48"/>
      <c r="N22" s="48"/>
      <c r="O22" s="48"/>
      <c r="P22" s="42"/>
    </row>
    <row r="23" spans="1:16" ht="15.75" thickTop="1" x14ac:dyDescent="0.25">
      <c r="A23" s="39"/>
      <c r="B23" s="39"/>
      <c r="C23" s="39"/>
      <c r="D23" s="39"/>
      <c r="E23" s="39"/>
      <c r="F23" s="39"/>
      <c r="G23" s="39"/>
      <c r="H23" s="39"/>
      <c r="I23" s="39"/>
      <c r="J23" s="39"/>
      <c r="K23" s="39"/>
      <c r="L23" s="39"/>
      <c r="M23" s="39"/>
      <c r="N23" s="39"/>
      <c r="O23" s="39"/>
      <c r="P23" s="39"/>
    </row>
    <row r="24" spans="1:16" x14ac:dyDescent="0.25">
      <c r="A24" s="46" t="s">
        <v>98</v>
      </c>
      <c r="B24" s="34"/>
      <c r="C24" s="34"/>
      <c r="D24" s="34"/>
      <c r="E24" s="34"/>
      <c r="F24" s="34"/>
      <c r="G24" s="34"/>
      <c r="H24" s="34"/>
      <c r="I24" s="34"/>
      <c r="J24" s="34"/>
      <c r="K24" s="34"/>
      <c r="L24" s="34"/>
      <c r="M24" s="34"/>
      <c r="N24" s="34"/>
      <c r="O24" s="34"/>
      <c r="P24" s="34"/>
    </row>
    <row r="25" spans="1:16" x14ac:dyDescent="0.25">
      <c r="A25" s="39" t="s">
        <v>99</v>
      </c>
      <c r="B25" s="34"/>
      <c r="C25" s="34"/>
      <c r="D25" s="34"/>
      <c r="E25" s="34"/>
      <c r="F25" s="34"/>
      <c r="G25" s="34"/>
      <c r="H25" s="34"/>
      <c r="I25" s="34"/>
      <c r="J25" s="34"/>
      <c r="K25" s="34"/>
      <c r="L25" s="34"/>
      <c r="M25" s="34"/>
      <c r="N25" s="34"/>
      <c r="O25" s="34"/>
      <c r="P25" s="34"/>
    </row>
    <row r="26" spans="1:16" x14ac:dyDescent="0.25">
      <c r="A26" s="39" t="s">
        <v>100</v>
      </c>
      <c r="B26" s="34"/>
      <c r="C26" s="34"/>
      <c r="D26" s="34"/>
      <c r="E26" s="34"/>
      <c r="F26" s="34"/>
      <c r="G26" s="34"/>
      <c r="H26" s="34"/>
      <c r="I26" s="34"/>
      <c r="J26" s="47"/>
      <c r="K26" s="34"/>
      <c r="L26" s="34"/>
      <c r="M26" s="34"/>
      <c r="N26" s="34"/>
      <c r="O26" s="34"/>
      <c r="P26" s="34"/>
    </row>
    <row r="28" spans="1:16" ht="18.75" x14ac:dyDescent="0.3">
      <c r="A28" s="1064" t="s">
        <v>101</v>
      </c>
      <c r="B28" s="1065"/>
      <c r="C28" s="1065"/>
      <c r="D28" s="1065"/>
      <c r="E28" s="1065"/>
      <c r="F28" s="1065"/>
      <c r="G28" s="1065"/>
      <c r="H28" s="1065"/>
      <c r="I28" s="1065"/>
      <c r="J28" s="1065"/>
      <c r="K28" s="1065"/>
      <c r="L28" s="1065"/>
      <c r="M28" s="1065"/>
      <c r="N28" s="1065"/>
      <c r="O28" s="1065"/>
      <c r="P28" s="1066"/>
    </row>
    <row r="29" spans="1:16" x14ac:dyDescent="0.25">
      <c r="A29" s="1049" t="s">
        <v>102</v>
      </c>
      <c r="B29" s="1050"/>
      <c r="C29" s="1050"/>
      <c r="D29" s="1050"/>
      <c r="E29" s="1050"/>
      <c r="F29" s="1050"/>
      <c r="G29" s="1050"/>
      <c r="H29" s="1050"/>
      <c r="I29" s="1050"/>
      <c r="J29" s="1050"/>
      <c r="K29" s="1050"/>
      <c r="L29" s="1050"/>
      <c r="M29" s="1050"/>
      <c r="N29" s="1050"/>
      <c r="O29" s="1050"/>
      <c r="P29" s="1051"/>
    </row>
    <row r="30" spans="1:16" x14ac:dyDescent="0.25">
      <c r="A30" s="1052"/>
      <c r="B30" s="1053"/>
      <c r="C30" s="1053"/>
      <c r="D30" s="1053"/>
      <c r="E30" s="1053"/>
      <c r="F30" s="1053"/>
      <c r="G30" s="1053"/>
      <c r="H30" s="1053"/>
      <c r="I30" s="1053"/>
      <c r="J30" s="1053"/>
      <c r="K30" s="1053"/>
      <c r="L30" s="1053"/>
      <c r="M30" s="1053"/>
      <c r="N30" s="1053"/>
      <c r="O30" s="1053"/>
      <c r="P30" s="1054"/>
    </row>
    <row r="31" spans="1:16" x14ac:dyDescent="0.25">
      <c r="A31" s="1055"/>
      <c r="B31" s="1056"/>
      <c r="C31" s="1056"/>
      <c r="D31" s="1056"/>
      <c r="E31" s="1056"/>
      <c r="F31" s="1056"/>
      <c r="G31" s="1056"/>
      <c r="H31" s="1056"/>
      <c r="I31" s="1056"/>
      <c r="J31" s="1056"/>
      <c r="K31" s="1056"/>
      <c r="L31" s="1056"/>
      <c r="M31" s="1056"/>
      <c r="N31" s="1056"/>
      <c r="O31" s="1056"/>
      <c r="P31" s="1057"/>
    </row>
    <row r="32" spans="1:16" x14ac:dyDescent="0.25">
      <c r="A32" s="1049" t="s">
        <v>103</v>
      </c>
      <c r="B32" s="1050"/>
      <c r="C32" s="1050"/>
      <c r="D32" s="1050"/>
      <c r="E32" s="1050"/>
      <c r="F32" s="1050"/>
      <c r="G32" s="1050"/>
      <c r="H32" s="1050"/>
      <c r="I32" s="1050"/>
      <c r="J32" s="1050"/>
      <c r="K32" s="1050"/>
      <c r="L32" s="1050"/>
      <c r="M32" s="1050"/>
      <c r="N32" s="1050"/>
      <c r="O32" s="1050"/>
      <c r="P32" s="1051"/>
    </row>
    <row r="33" spans="1:16" x14ac:dyDescent="0.25">
      <c r="A33" s="1052"/>
      <c r="B33" s="1053"/>
      <c r="C33" s="1053"/>
      <c r="D33" s="1053"/>
      <c r="E33" s="1053"/>
      <c r="F33" s="1053"/>
      <c r="G33" s="1053"/>
      <c r="H33" s="1053"/>
      <c r="I33" s="1053"/>
      <c r="J33" s="1053"/>
      <c r="K33" s="1053"/>
      <c r="L33" s="1053"/>
      <c r="M33" s="1053"/>
      <c r="N33" s="1053"/>
      <c r="O33" s="1053"/>
      <c r="P33" s="1054"/>
    </row>
    <row r="34" spans="1:16" x14ac:dyDescent="0.25">
      <c r="A34" s="1055"/>
      <c r="B34" s="1056"/>
      <c r="C34" s="1056"/>
      <c r="D34" s="1056"/>
      <c r="E34" s="1056"/>
      <c r="F34" s="1056"/>
      <c r="G34" s="1056"/>
      <c r="H34" s="1056"/>
      <c r="I34" s="1056"/>
      <c r="J34" s="1056"/>
      <c r="K34" s="1056"/>
      <c r="L34" s="1056"/>
      <c r="M34" s="1056"/>
      <c r="N34" s="1056"/>
      <c r="O34" s="1056"/>
      <c r="P34" s="1057"/>
    </row>
    <row r="35" spans="1:16" x14ac:dyDescent="0.25">
      <c r="A35" s="1049" t="s">
        <v>104</v>
      </c>
      <c r="B35" s="1050"/>
      <c r="C35" s="1050"/>
      <c r="D35" s="1050"/>
      <c r="E35" s="1050"/>
      <c r="F35" s="1050"/>
      <c r="G35" s="1050"/>
      <c r="H35" s="1050"/>
      <c r="I35" s="1050"/>
      <c r="J35" s="1050"/>
      <c r="K35" s="1050"/>
      <c r="L35" s="1050"/>
      <c r="M35" s="1050"/>
      <c r="N35" s="1050"/>
      <c r="O35" s="1050"/>
      <c r="P35" s="1051"/>
    </row>
    <row r="36" spans="1:16" x14ac:dyDescent="0.25">
      <c r="A36" s="1052"/>
      <c r="B36" s="1053"/>
      <c r="C36" s="1053"/>
      <c r="D36" s="1053"/>
      <c r="E36" s="1053"/>
      <c r="F36" s="1053"/>
      <c r="G36" s="1053"/>
      <c r="H36" s="1053"/>
      <c r="I36" s="1053"/>
      <c r="J36" s="1053"/>
      <c r="K36" s="1053"/>
      <c r="L36" s="1053"/>
      <c r="M36" s="1053"/>
      <c r="N36" s="1053"/>
      <c r="O36" s="1053"/>
      <c r="P36" s="1054"/>
    </row>
    <row r="37" spans="1:16" x14ac:dyDescent="0.25">
      <c r="A37" s="1055"/>
      <c r="B37" s="1056"/>
      <c r="C37" s="1056"/>
      <c r="D37" s="1056"/>
      <c r="E37" s="1056"/>
      <c r="F37" s="1056"/>
      <c r="G37" s="1056"/>
      <c r="H37" s="1056"/>
      <c r="I37" s="1056"/>
      <c r="J37" s="1056"/>
      <c r="K37" s="1056"/>
      <c r="L37" s="1056"/>
      <c r="M37" s="1056"/>
      <c r="N37" s="1056"/>
      <c r="O37" s="1056"/>
      <c r="P37" s="1057"/>
    </row>
  </sheetData>
  <customSheetViews>
    <customSheetView guid="{FEE3C04B-CD27-4551-A1CF-8272225D231B}">
      <selection activeCell="N1" sqref="N1:N1048576"/>
      <pageMargins left="0.7" right="0.7" top="0.75" bottom="0.75" header="0.3" footer="0.3"/>
    </customSheetView>
    <customSheetView guid="{957A2981-C0FE-4A89-90AC-F40944F7258F}">
      <selection activeCell="N1" sqref="N1:N1048576"/>
      <pageMargins left="0.7" right="0.7" top="0.75" bottom="0.75" header="0.3" footer="0.3"/>
    </customSheetView>
    <customSheetView guid="{AE01795C-0F1A-4D22-B411-4CB1D681CFC8}">
      <selection activeCell="N1" sqref="N1:N1048576"/>
      <pageMargins left="0.7" right="0.7" top="0.75" bottom="0.75" header="0.3" footer="0.3"/>
    </customSheetView>
  </customSheetViews>
  <mergeCells count="27">
    <mergeCell ref="A35:P35"/>
    <mergeCell ref="A36:P37"/>
    <mergeCell ref="A13:A16"/>
    <mergeCell ref="B16:C16"/>
    <mergeCell ref="H16:I16"/>
    <mergeCell ref="B13:K13"/>
    <mergeCell ref="L13:O13"/>
    <mergeCell ref="A28:P28"/>
    <mergeCell ref="A29:P29"/>
    <mergeCell ref="A30:P31"/>
    <mergeCell ref="A32:P32"/>
    <mergeCell ref="A33:P34"/>
    <mergeCell ref="N14:N15"/>
    <mergeCell ref="O14:O15"/>
    <mergeCell ref="D16:E16"/>
    <mergeCell ref="F16:G16"/>
    <mergeCell ref="J16:K16"/>
    <mergeCell ref="L16:O16"/>
    <mergeCell ref="A9:P9"/>
    <mergeCell ref="A10:P10"/>
    <mergeCell ref="B14:C14"/>
    <mergeCell ref="D14:E14"/>
    <mergeCell ref="F14:G14"/>
    <mergeCell ref="H14:I14"/>
    <mergeCell ref="J14:K14"/>
    <mergeCell ref="L14:L15"/>
    <mergeCell ref="M14: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4"/>
  <sheetViews>
    <sheetView workbookViewId="0">
      <selection activeCell="K92" sqref="K92"/>
    </sheetView>
  </sheetViews>
  <sheetFormatPr defaultRowHeight="15" x14ac:dyDescent="0.25"/>
  <cols>
    <col min="3" max="3" width="20.85546875" bestFit="1" customWidth="1"/>
    <col min="4" max="4" width="12.28515625" bestFit="1" customWidth="1"/>
    <col min="5" max="5" width="20.28515625" bestFit="1" customWidth="1"/>
    <col min="6" max="6" width="9.7109375" bestFit="1" customWidth="1"/>
    <col min="7" max="7" width="12.28515625" bestFit="1" customWidth="1"/>
    <col min="9" max="9" width="15.140625" customWidth="1"/>
    <col min="10" max="10" width="14.85546875" customWidth="1"/>
    <col min="11" max="11" width="10.5703125" customWidth="1"/>
    <col min="12" max="12" width="12.42578125" customWidth="1"/>
    <col min="13" max="13" width="12.140625" customWidth="1"/>
    <col min="17" max="17" width="20.85546875" bestFit="1" customWidth="1"/>
    <col min="18" max="18" width="12.5703125" customWidth="1"/>
    <col min="19" max="19" width="12" customWidth="1"/>
    <col min="20" max="20" width="9.85546875" customWidth="1"/>
    <col min="21" max="21" width="13.140625" customWidth="1"/>
    <col min="23" max="23" width="14.140625" customWidth="1"/>
    <col min="24" max="25" width="13" customWidth="1"/>
    <col min="26" max="26" width="13.7109375" customWidth="1"/>
    <col min="27" max="27" width="12.140625" customWidth="1"/>
    <col min="31" max="31" width="20.85546875" bestFit="1" customWidth="1"/>
    <col min="32" max="32" width="14.5703125" customWidth="1"/>
    <col min="33" max="33" width="13.140625" customWidth="1"/>
    <col min="35" max="35" width="13" customWidth="1"/>
    <col min="39" max="39" width="11" customWidth="1"/>
    <col min="45" max="45" width="20.85546875" bestFit="1" customWidth="1"/>
    <col min="46" max="46" width="13.28515625" customWidth="1"/>
    <col min="47" max="48" width="12" customWidth="1"/>
    <col min="49" max="49" width="14.5703125" customWidth="1"/>
    <col min="51" max="51" width="13.140625" customWidth="1"/>
    <col min="52" max="52" width="12.28515625" customWidth="1"/>
    <col min="53" max="53" width="11.5703125" customWidth="1"/>
    <col min="54" max="54" width="15.7109375" customWidth="1"/>
    <col min="55" max="55" width="12.28515625" bestFit="1" customWidth="1"/>
    <col min="59" max="59" width="20.85546875" bestFit="1" customWidth="1"/>
    <col min="60" max="60" width="13.42578125" bestFit="1" customWidth="1"/>
    <col min="61" max="61" width="16" customWidth="1"/>
    <col min="62" max="62" width="9.7109375" bestFit="1" customWidth="1"/>
    <col min="63" max="63" width="13.42578125" bestFit="1" customWidth="1"/>
    <col min="65" max="65" width="16.5703125" customWidth="1"/>
    <col min="66" max="66" width="13.5703125" customWidth="1"/>
    <col min="67" max="67" width="11" customWidth="1"/>
    <col min="68" max="68" width="12.28515625" customWidth="1"/>
    <col min="69" max="69" width="12" customWidth="1"/>
  </cols>
  <sheetData>
    <row r="1" spans="1:69" x14ac:dyDescent="0.25">
      <c r="A1" s="57"/>
      <c r="B1" s="57"/>
      <c r="C1" s="57"/>
      <c r="D1" s="57"/>
      <c r="E1" s="57"/>
      <c r="F1" s="57"/>
      <c r="G1" s="57"/>
      <c r="H1" s="57"/>
      <c r="I1" s="57"/>
      <c r="J1" s="57"/>
      <c r="K1" s="57"/>
      <c r="L1" s="67" t="s">
        <v>0</v>
      </c>
      <c r="M1" s="64">
        <v>0</v>
      </c>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row>
    <row r="2" spans="1:69" x14ac:dyDescent="0.25">
      <c r="A2" s="57"/>
      <c r="B2" s="57"/>
      <c r="C2" s="57"/>
      <c r="D2" s="57"/>
      <c r="E2" s="57"/>
      <c r="F2" s="57"/>
      <c r="G2" s="57"/>
      <c r="H2" s="57"/>
      <c r="I2" s="57"/>
      <c r="J2" s="57"/>
      <c r="K2" s="57"/>
      <c r="L2" s="67" t="s">
        <v>1</v>
      </c>
      <c r="M2" s="59"/>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row>
    <row r="3" spans="1:69" x14ac:dyDescent="0.25">
      <c r="A3" s="57"/>
      <c r="B3" s="57"/>
      <c r="C3" s="57"/>
      <c r="D3" s="57"/>
      <c r="E3" s="57"/>
      <c r="F3" s="57"/>
      <c r="G3" s="57"/>
      <c r="H3" s="57"/>
      <c r="I3" s="57"/>
      <c r="J3" s="57"/>
      <c r="K3" s="57"/>
      <c r="L3" s="67" t="s">
        <v>2</v>
      </c>
      <c r="M3" s="59"/>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row>
    <row r="4" spans="1:69" x14ac:dyDescent="0.25">
      <c r="A4" s="57"/>
      <c r="B4" s="57"/>
      <c r="C4" s="57"/>
      <c r="D4" s="57"/>
      <c r="E4" s="57"/>
      <c r="F4" s="57"/>
      <c r="G4" s="57"/>
      <c r="H4" s="57"/>
      <c r="I4" s="57"/>
      <c r="J4" s="57"/>
      <c r="K4" s="57"/>
      <c r="L4" s="67" t="s">
        <v>3</v>
      </c>
      <c r="M4" s="59"/>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row>
    <row r="5" spans="1:69" x14ac:dyDescent="0.25">
      <c r="A5" s="57"/>
      <c r="B5" s="57"/>
      <c r="C5" s="57"/>
      <c r="D5" s="57"/>
      <c r="E5" s="57"/>
      <c r="F5" s="57"/>
      <c r="G5" s="57"/>
      <c r="H5" s="57"/>
      <c r="I5" s="57"/>
      <c r="J5" s="57"/>
      <c r="K5" s="57"/>
      <c r="L5" s="67" t="s">
        <v>4</v>
      </c>
      <c r="M5" s="60"/>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row>
    <row r="6" spans="1:69" x14ac:dyDescent="0.25">
      <c r="A6" s="57"/>
      <c r="B6" s="57"/>
      <c r="C6" s="57"/>
      <c r="D6" s="57"/>
      <c r="E6" s="57"/>
      <c r="F6" s="57"/>
      <c r="G6" s="57"/>
      <c r="H6" s="57"/>
      <c r="I6" s="57"/>
      <c r="J6" s="57"/>
      <c r="K6" s="57"/>
      <c r="L6" s="67"/>
      <c r="M6" s="114"/>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row>
    <row r="7" spans="1:69" x14ac:dyDescent="0.25">
      <c r="A7" s="57"/>
      <c r="B7" s="57"/>
      <c r="C7" s="57"/>
      <c r="D7" s="57"/>
      <c r="E7" s="57"/>
      <c r="F7" s="57"/>
      <c r="G7" s="57"/>
      <c r="H7" s="57"/>
      <c r="I7" s="57"/>
      <c r="J7" s="57"/>
      <c r="K7" s="57"/>
      <c r="L7" s="67" t="s">
        <v>5</v>
      </c>
      <c r="M7" s="60"/>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row>
    <row r="8" spans="1:69" x14ac:dyDescent="0.2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row>
    <row r="9" spans="1:69" ht="18" x14ac:dyDescent="0.25">
      <c r="A9" s="1069" t="s">
        <v>105</v>
      </c>
      <c r="B9" s="1069"/>
      <c r="C9" s="1069"/>
      <c r="D9" s="1069"/>
      <c r="E9" s="1069"/>
      <c r="F9" s="1069"/>
      <c r="G9" s="1069"/>
      <c r="H9" s="1069"/>
      <c r="I9" s="1069"/>
      <c r="J9" s="1069"/>
      <c r="K9" s="1069"/>
      <c r="L9" s="1069"/>
      <c r="M9" s="1069"/>
      <c r="N9" s="57"/>
      <c r="O9" s="1069" t="s">
        <v>105</v>
      </c>
      <c r="P9" s="1069"/>
      <c r="Q9" s="1069"/>
      <c r="R9" s="1069"/>
      <c r="S9" s="1069"/>
      <c r="T9" s="1069"/>
      <c r="U9" s="1069"/>
      <c r="V9" s="1069"/>
      <c r="W9" s="1069"/>
      <c r="X9" s="1069"/>
      <c r="Y9" s="1069"/>
      <c r="Z9" s="1069"/>
      <c r="AA9" s="1069"/>
      <c r="AB9" s="57"/>
      <c r="AC9" s="1069" t="s">
        <v>105</v>
      </c>
      <c r="AD9" s="1069"/>
      <c r="AE9" s="1069"/>
      <c r="AF9" s="1069"/>
      <c r="AG9" s="1069"/>
      <c r="AH9" s="1069"/>
      <c r="AI9" s="1069"/>
      <c r="AJ9" s="1069"/>
      <c r="AK9" s="1069"/>
      <c r="AL9" s="1069"/>
      <c r="AM9" s="1069"/>
      <c r="AN9" s="1069"/>
      <c r="AO9" s="1069"/>
      <c r="AP9" s="57"/>
      <c r="AQ9" s="1069" t="s">
        <v>105</v>
      </c>
      <c r="AR9" s="1069"/>
      <c r="AS9" s="1069"/>
      <c r="AT9" s="1069"/>
      <c r="AU9" s="1069"/>
      <c r="AV9" s="1069"/>
      <c r="AW9" s="1069"/>
      <c r="AX9" s="1069"/>
      <c r="AY9" s="1069"/>
      <c r="AZ9" s="1069"/>
      <c r="BA9" s="1069"/>
      <c r="BB9" s="1069"/>
      <c r="BC9" s="1069"/>
      <c r="BD9" s="57"/>
      <c r="BE9" s="1069" t="s">
        <v>105</v>
      </c>
      <c r="BF9" s="1069"/>
      <c r="BG9" s="1069"/>
      <c r="BH9" s="1069"/>
      <c r="BI9" s="1069"/>
      <c r="BJ9" s="1069"/>
      <c r="BK9" s="1069"/>
      <c r="BL9" s="1069"/>
      <c r="BM9" s="1069"/>
      <c r="BN9" s="1069"/>
      <c r="BO9" s="1069"/>
      <c r="BP9" s="1069"/>
      <c r="BQ9" s="1069"/>
    </row>
    <row r="10" spans="1:69" ht="21" x14ac:dyDescent="0.25">
      <c r="A10" s="1069" t="s">
        <v>106</v>
      </c>
      <c r="B10" s="1069"/>
      <c r="C10" s="1069"/>
      <c r="D10" s="1069"/>
      <c r="E10" s="1069"/>
      <c r="F10" s="1069"/>
      <c r="G10" s="1069"/>
      <c r="H10" s="1069"/>
      <c r="I10" s="1069"/>
      <c r="J10" s="1069"/>
      <c r="K10" s="1069"/>
      <c r="L10" s="1069"/>
      <c r="M10" s="1069"/>
      <c r="N10" s="57"/>
      <c r="O10" s="1069" t="s">
        <v>106</v>
      </c>
      <c r="P10" s="1069"/>
      <c r="Q10" s="1069"/>
      <c r="R10" s="1069"/>
      <c r="S10" s="1069"/>
      <c r="T10" s="1069"/>
      <c r="U10" s="1069"/>
      <c r="V10" s="1069"/>
      <c r="W10" s="1069"/>
      <c r="X10" s="1069"/>
      <c r="Y10" s="1069"/>
      <c r="Z10" s="1069"/>
      <c r="AA10" s="1069"/>
      <c r="AB10" s="57"/>
      <c r="AC10" s="1069" t="s">
        <v>106</v>
      </c>
      <c r="AD10" s="1069"/>
      <c r="AE10" s="1069"/>
      <c r="AF10" s="1069"/>
      <c r="AG10" s="1069"/>
      <c r="AH10" s="1069"/>
      <c r="AI10" s="1069"/>
      <c r="AJ10" s="1069"/>
      <c r="AK10" s="1069"/>
      <c r="AL10" s="1069"/>
      <c r="AM10" s="1069"/>
      <c r="AN10" s="1069"/>
      <c r="AO10" s="1069"/>
      <c r="AP10" s="57"/>
      <c r="AQ10" s="1069" t="s">
        <v>106</v>
      </c>
      <c r="AR10" s="1069"/>
      <c r="AS10" s="1069"/>
      <c r="AT10" s="1069"/>
      <c r="AU10" s="1069"/>
      <c r="AV10" s="1069"/>
      <c r="AW10" s="1069"/>
      <c r="AX10" s="1069"/>
      <c r="AY10" s="1069"/>
      <c r="AZ10" s="1069"/>
      <c r="BA10" s="1069"/>
      <c r="BB10" s="1069"/>
      <c r="BC10" s="1069"/>
      <c r="BD10" s="57"/>
      <c r="BE10" s="1069" t="s">
        <v>106</v>
      </c>
      <c r="BF10" s="1069"/>
      <c r="BG10" s="1069"/>
      <c r="BH10" s="1069"/>
      <c r="BI10" s="1069"/>
      <c r="BJ10" s="1069"/>
      <c r="BK10" s="1069"/>
      <c r="BL10" s="1069"/>
      <c r="BM10" s="1069"/>
      <c r="BN10" s="1069"/>
      <c r="BO10" s="1069"/>
      <c r="BP10" s="1069"/>
      <c r="BQ10" s="1069"/>
    </row>
    <row r="11" spans="1:69" x14ac:dyDescent="0.25">
      <c r="A11" s="57"/>
      <c r="B11" s="57"/>
      <c r="C11" s="57"/>
      <c r="D11" s="57"/>
      <c r="E11" s="57"/>
      <c r="F11" s="57"/>
      <c r="G11" s="57"/>
      <c r="H11" s="61"/>
      <c r="I11" s="57"/>
      <c r="J11" s="57"/>
      <c r="K11" s="57"/>
      <c r="L11" s="57"/>
      <c r="M11" s="57"/>
      <c r="N11" s="57"/>
      <c r="O11" s="113"/>
      <c r="P11" s="113"/>
      <c r="Q11" s="57"/>
      <c r="R11" s="57"/>
      <c r="S11" s="57"/>
      <c r="T11" s="57"/>
      <c r="U11" s="57"/>
      <c r="V11" s="57"/>
      <c r="W11" s="57"/>
      <c r="X11" s="57"/>
      <c r="Y11" s="57"/>
      <c r="Z11" s="57"/>
      <c r="AA11" s="57"/>
      <c r="AB11" s="57"/>
      <c r="AC11" s="113"/>
      <c r="AD11" s="113"/>
      <c r="AE11" s="57"/>
      <c r="AF11" s="57"/>
      <c r="AG11" s="57"/>
      <c r="AH11" s="57"/>
      <c r="AI11" s="57"/>
      <c r="AJ11" s="57"/>
      <c r="AK11" s="57"/>
      <c r="AL11" s="57"/>
      <c r="AM11" s="57"/>
      <c r="AN11" s="57"/>
      <c r="AO11" s="57"/>
      <c r="AP11" s="57"/>
      <c r="AQ11" s="113"/>
      <c r="AR11" s="113"/>
      <c r="AS11" s="57"/>
      <c r="AT11" s="57"/>
      <c r="AU11" s="57"/>
      <c r="AV11" s="57"/>
      <c r="AW11" s="57"/>
      <c r="AX11" s="57"/>
      <c r="AY11" s="57"/>
      <c r="AZ11" s="57"/>
      <c r="BA11" s="57"/>
      <c r="BB11" s="57"/>
      <c r="BC11" s="57"/>
      <c r="BD11" s="57"/>
      <c r="BE11" s="113"/>
      <c r="BF11" s="113"/>
      <c r="BG11" s="57"/>
      <c r="BH11" s="57"/>
      <c r="BI11" s="57"/>
      <c r="BJ11" s="57"/>
      <c r="BK11" s="57"/>
      <c r="BL11" s="57"/>
      <c r="BM11" s="57"/>
      <c r="BN11" s="57"/>
      <c r="BO11" s="57"/>
      <c r="BP11" s="57"/>
      <c r="BQ11" s="57"/>
    </row>
    <row r="12" spans="1:69" x14ac:dyDescent="0.25">
      <c r="A12" s="57"/>
      <c r="B12" s="57"/>
      <c r="C12" s="57"/>
      <c r="D12" s="57"/>
      <c r="E12" s="65" t="s">
        <v>107</v>
      </c>
      <c r="F12" s="58" t="s">
        <v>12</v>
      </c>
      <c r="G12" s="57"/>
      <c r="H12" s="61"/>
      <c r="I12" s="57"/>
      <c r="J12" s="57"/>
      <c r="K12" s="57"/>
      <c r="L12" s="57"/>
      <c r="M12" s="57"/>
      <c r="N12" s="57"/>
      <c r="O12" s="113"/>
      <c r="P12" s="113"/>
      <c r="Q12" s="57"/>
      <c r="R12" s="57"/>
      <c r="S12" s="65" t="s">
        <v>107</v>
      </c>
      <c r="T12" s="58" t="s">
        <v>13</v>
      </c>
      <c r="U12" s="57"/>
      <c r="V12" s="57"/>
      <c r="W12" s="57"/>
      <c r="X12" s="57"/>
      <c r="Y12" s="57"/>
      <c r="Z12" s="57"/>
      <c r="AA12" s="57"/>
      <c r="AB12" s="57"/>
      <c r="AC12" s="113"/>
      <c r="AD12" s="113"/>
      <c r="AE12" s="57"/>
      <c r="AF12" s="57"/>
      <c r="AG12" s="65" t="s">
        <v>107</v>
      </c>
      <c r="AH12" s="58" t="s">
        <v>13</v>
      </c>
      <c r="AI12" s="57"/>
      <c r="AJ12" s="57"/>
      <c r="AK12" s="57"/>
      <c r="AL12" s="57"/>
      <c r="AM12" s="57"/>
      <c r="AN12" s="57"/>
      <c r="AO12" s="57"/>
      <c r="AP12" s="57"/>
      <c r="AQ12" s="113"/>
      <c r="AR12" s="113"/>
      <c r="AS12" s="57"/>
      <c r="AT12" s="57"/>
      <c r="AU12" s="65" t="s">
        <v>107</v>
      </c>
      <c r="AV12" s="58" t="s">
        <v>13</v>
      </c>
      <c r="AW12" s="57"/>
      <c r="AX12" s="57"/>
      <c r="AY12" s="57"/>
      <c r="AZ12" s="57"/>
      <c r="BA12" s="57"/>
      <c r="BB12" s="57"/>
      <c r="BC12" s="57"/>
      <c r="BD12" s="57"/>
      <c r="BE12" s="113"/>
      <c r="BF12" s="113"/>
      <c r="BG12" s="57"/>
      <c r="BH12" s="57"/>
      <c r="BI12" s="65" t="s">
        <v>107</v>
      </c>
      <c r="BJ12" s="58" t="s">
        <v>13</v>
      </c>
      <c r="BK12" s="57"/>
      <c r="BL12" s="57"/>
      <c r="BM12" s="57"/>
      <c r="BN12" s="57"/>
      <c r="BO12" s="57"/>
      <c r="BP12" s="57"/>
      <c r="BQ12" s="57"/>
    </row>
    <row r="13" spans="1:69" x14ac:dyDescent="0.25">
      <c r="A13" s="57"/>
      <c r="B13" s="57"/>
      <c r="C13" s="63"/>
      <c r="D13" s="57"/>
      <c r="E13" s="65" t="s">
        <v>108</v>
      </c>
      <c r="F13" s="69">
        <v>2013</v>
      </c>
      <c r="G13" s="70"/>
      <c r="H13" s="57"/>
      <c r="I13" s="57"/>
      <c r="J13" s="57"/>
      <c r="K13" s="57"/>
      <c r="L13" s="57"/>
      <c r="M13" s="57"/>
      <c r="N13" s="57"/>
      <c r="O13" s="113"/>
      <c r="P13" s="113"/>
      <c r="Q13" s="63"/>
      <c r="R13" s="57"/>
      <c r="S13" s="65" t="s">
        <v>108</v>
      </c>
      <c r="T13" s="69">
        <v>2014</v>
      </c>
      <c r="U13" s="70"/>
      <c r="V13" s="68"/>
      <c r="W13" s="57"/>
      <c r="X13" s="57"/>
      <c r="Y13" s="57"/>
      <c r="Z13" s="57"/>
      <c r="AA13" s="57"/>
      <c r="AB13" s="57"/>
      <c r="AC13" s="113"/>
      <c r="AD13" s="113"/>
      <c r="AE13" s="63"/>
      <c r="AF13" s="57"/>
      <c r="AG13" s="65" t="s">
        <v>108</v>
      </c>
      <c r="AH13" s="69">
        <v>2015</v>
      </c>
      <c r="AI13" s="70"/>
      <c r="AJ13" s="68"/>
      <c r="AK13" s="57"/>
      <c r="AL13" s="57"/>
      <c r="AM13" s="57"/>
      <c r="AN13" s="57"/>
      <c r="AO13" s="57"/>
      <c r="AP13" s="57"/>
      <c r="AQ13" s="113"/>
      <c r="AR13" s="113"/>
      <c r="AS13" s="63"/>
      <c r="AT13" s="57"/>
      <c r="AU13" s="65" t="s">
        <v>108</v>
      </c>
      <c r="AV13" s="69">
        <v>2016</v>
      </c>
      <c r="AW13" s="70"/>
      <c r="AX13" s="68"/>
      <c r="AY13" s="57"/>
      <c r="AZ13" s="57"/>
      <c r="BA13" s="57"/>
      <c r="BB13" s="57"/>
      <c r="BC13" s="57"/>
      <c r="BD13" s="57"/>
      <c r="BE13" s="113"/>
      <c r="BF13" s="113"/>
      <c r="BG13" s="63"/>
      <c r="BH13" s="57"/>
      <c r="BI13" s="65" t="s">
        <v>108</v>
      </c>
      <c r="BJ13" s="69">
        <v>2017</v>
      </c>
      <c r="BK13" s="70"/>
      <c r="BL13" s="68"/>
      <c r="BM13" s="57"/>
      <c r="BN13" s="57"/>
      <c r="BO13" s="57"/>
      <c r="BP13" s="57"/>
      <c r="BQ13" s="57"/>
    </row>
    <row r="14" spans="1:69" x14ac:dyDescent="0.25">
      <c r="A14" s="57"/>
      <c r="B14" s="57"/>
      <c r="C14" s="57"/>
      <c r="D14" s="57"/>
      <c r="E14" s="57"/>
      <c r="F14" s="57"/>
      <c r="G14" s="57"/>
      <c r="H14" s="57"/>
      <c r="I14" s="57"/>
      <c r="J14" s="57"/>
      <c r="K14" s="57"/>
      <c r="L14" s="57"/>
      <c r="M14" s="57"/>
      <c r="N14" s="57"/>
      <c r="O14" s="113"/>
      <c r="P14" s="113"/>
      <c r="Q14" s="57"/>
      <c r="R14" s="57"/>
      <c r="S14" s="57"/>
      <c r="T14" s="57"/>
      <c r="U14" s="57"/>
      <c r="V14" s="68"/>
      <c r="W14" s="57"/>
      <c r="X14" s="57"/>
      <c r="Y14" s="57"/>
      <c r="Z14" s="57"/>
      <c r="AA14" s="57"/>
      <c r="AB14" s="57"/>
      <c r="AC14" s="113"/>
      <c r="AD14" s="113"/>
      <c r="AE14" s="57"/>
      <c r="AF14" s="57"/>
      <c r="AG14" s="57"/>
      <c r="AH14" s="57"/>
      <c r="AI14" s="57"/>
      <c r="AJ14" s="68"/>
      <c r="AK14" s="57"/>
      <c r="AL14" s="57"/>
      <c r="AM14" s="57"/>
      <c r="AN14" s="57"/>
      <c r="AO14" s="57"/>
      <c r="AP14" s="57"/>
      <c r="AQ14" s="113"/>
      <c r="AR14" s="113"/>
      <c r="AS14" s="57"/>
      <c r="AT14" s="57"/>
      <c r="AU14" s="57"/>
      <c r="AV14" s="57"/>
      <c r="AW14" s="57"/>
      <c r="AX14" s="68"/>
      <c r="AY14" s="57"/>
      <c r="AZ14" s="57"/>
      <c r="BA14" s="57"/>
      <c r="BB14" s="57"/>
      <c r="BC14" s="57"/>
      <c r="BD14" s="57"/>
      <c r="BE14" s="113"/>
      <c r="BF14" s="113"/>
      <c r="BG14" s="57"/>
      <c r="BH14" s="57"/>
      <c r="BI14" s="57"/>
      <c r="BJ14" s="57"/>
      <c r="BK14" s="57"/>
      <c r="BL14" s="68"/>
      <c r="BM14" s="57"/>
      <c r="BN14" s="57"/>
      <c r="BO14" s="57"/>
      <c r="BP14" s="57"/>
      <c r="BQ14" s="57"/>
    </row>
    <row r="15" spans="1:69" x14ac:dyDescent="0.25">
      <c r="A15" s="57"/>
      <c r="B15" s="57"/>
      <c r="C15" s="57"/>
      <c r="D15" s="1070" t="s">
        <v>109</v>
      </c>
      <c r="E15" s="1071"/>
      <c r="F15" s="1071"/>
      <c r="G15" s="1072"/>
      <c r="H15" s="57"/>
      <c r="I15" s="71"/>
      <c r="J15" s="72" t="s">
        <v>110</v>
      </c>
      <c r="K15" s="72"/>
      <c r="L15" s="73"/>
      <c r="M15" s="68"/>
      <c r="N15" s="57"/>
      <c r="O15" s="113"/>
      <c r="P15" s="113"/>
      <c r="Q15" s="57"/>
      <c r="R15" s="1070" t="s">
        <v>109</v>
      </c>
      <c r="S15" s="1071"/>
      <c r="T15" s="1071"/>
      <c r="U15" s="1072"/>
      <c r="V15" s="68"/>
      <c r="W15" s="71"/>
      <c r="X15" s="72" t="s">
        <v>110</v>
      </c>
      <c r="Y15" s="72"/>
      <c r="Z15" s="73"/>
      <c r="AA15" s="68"/>
      <c r="AB15" s="57"/>
      <c r="AC15" s="113"/>
      <c r="AD15" s="113"/>
      <c r="AE15" s="57"/>
      <c r="AF15" s="1070" t="s">
        <v>109</v>
      </c>
      <c r="AG15" s="1071"/>
      <c r="AH15" s="1071"/>
      <c r="AI15" s="1072"/>
      <c r="AJ15" s="68"/>
      <c r="AK15" s="71"/>
      <c r="AL15" s="72" t="s">
        <v>110</v>
      </c>
      <c r="AM15" s="72"/>
      <c r="AN15" s="73"/>
      <c r="AO15" s="68"/>
      <c r="AP15" s="57"/>
      <c r="AQ15" s="113"/>
      <c r="AR15" s="113"/>
      <c r="AS15" s="57"/>
      <c r="AT15" s="1070" t="s">
        <v>109</v>
      </c>
      <c r="AU15" s="1071"/>
      <c r="AV15" s="1071"/>
      <c r="AW15" s="1072"/>
      <c r="AX15" s="68"/>
      <c r="AY15" s="71"/>
      <c r="AZ15" s="72" t="s">
        <v>110</v>
      </c>
      <c r="BA15" s="72"/>
      <c r="BB15" s="73"/>
      <c r="BC15" s="68"/>
      <c r="BD15" s="57"/>
      <c r="BE15" s="113"/>
      <c r="BF15" s="113"/>
      <c r="BG15" s="57"/>
      <c r="BH15" s="1070" t="s">
        <v>109</v>
      </c>
      <c r="BI15" s="1071"/>
      <c r="BJ15" s="1071"/>
      <c r="BK15" s="1072"/>
      <c r="BL15" s="68"/>
      <c r="BM15" s="71"/>
      <c r="BN15" s="72" t="s">
        <v>110</v>
      </c>
      <c r="BO15" s="72"/>
      <c r="BP15" s="73"/>
      <c r="BQ15" s="68"/>
    </row>
    <row r="16" spans="1:69" ht="40.5" x14ac:dyDescent="0.25">
      <c r="A16" s="74" t="s">
        <v>111</v>
      </c>
      <c r="B16" s="74" t="s">
        <v>112</v>
      </c>
      <c r="C16" s="75" t="s">
        <v>113</v>
      </c>
      <c r="D16" s="74" t="s">
        <v>114</v>
      </c>
      <c r="E16" s="76" t="s">
        <v>115</v>
      </c>
      <c r="F16" s="76" t="s">
        <v>116</v>
      </c>
      <c r="G16" s="74" t="s">
        <v>117</v>
      </c>
      <c r="H16" s="77"/>
      <c r="I16" s="78" t="s">
        <v>114</v>
      </c>
      <c r="J16" s="79" t="s">
        <v>118</v>
      </c>
      <c r="K16" s="79" t="s">
        <v>116</v>
      </c>
      <c r="L16" s="80" t="s">
        <v>117</v>
      </c>
      <c r="M16" s="74" t="s">
        <v>119</v>
      </c>
      <c r="N16" s="57"/>
      <c r="O16" s="74" t="s">
        <v>111</v>
      </c>
      <c r="P16" s="74" t="s">
        <v>112</v>
      </c>
      <c r="Q16" s="75" t="s">
        <v>113</v>
      </c>
      <c r="R16" s="74" t="s">
        <v>114</v>
      </c>
      <c r="S16" s="76" t="s">
        <v>115</v>
      </c>
      <c r="T16" s="76" t="s">
        <v>116</v>
      </c>
      <c r="U16" s="74" t="s">
        <v>117</v>
      </c>
      <c r="V16" s="77"/>
      <c r="W16" s="78" t="s">
        <v>114</v>
      </c>
      <c r="X16" s="79" t="s">
        <v>118</v>
      </c>
      <c r="Y16" s="79" t="s">
        <v>116</v>
      </c>
      <c r="Z16" s="80" t="s">
        <v>117</v>
      </c>
      <c r="AA16" s="74" t="s">
        <v>119</v>
      </c>
      <c r="AB16" s="57"/>
      <c r="AC16" s="74" t="s">
        <v>111</v>
      </c>
      <c r="AD16" s="74" t="s">
        <v>112</v>
      </c>
      <c r="AE16" s="75" t="s">
        <v>113</v>
      </c>
      <c r="AF16" s="74" t="s">
        <v>114</v>
      </c>
      <c r="AG16" s="76" t="s">
        <v>115</v>
      </c>
      <c r="AH16" s="76" t="s">
        <v>116</v>
      </c>
      <c r="AI16" s="74" t="s">
        <v>117</v>
      </c>
      <c r="AJ16" s="77"/>
      <c r="AK16" s="78" t="s">
        <v>114</v>
      </c>
      <c r="AL16" s="79" t="s">
        <v>118</v>
      </c>
      <c r="AM16" s="79" t="s">
        <v>116</v>
      </c>
      <c r="AN16" s="80" t="s">
        <v>117</v>
      </c>
      <c r="AO16" s="74" t="s">
        <v>119</v>
      </c>
      <c r="AP16" s="57"/>
      <c r="AQ16" s="74" t="s">
        <v>111</v>
      </c>
      <c r="AR16" s="74" t="s">
        <v>112</v>
      </c>
      <c r="AS16" s="75" t="s">
        <v>113</v>
      </c>
      <c r="AT16" s="74" t="s">
        <v>114</v>
      </c>
      <c r="AU16" s="76" t="s">
        <v>115</v>
      </c>
      <c r="AV16" s="76" t="s">
        <v>116</v>
      </c>
      <c r="AW16" s="74" t="s">
        <v>117</v>
      </c>
      <c r="AX16" s="77"/>
      <c r="AY16" s="78" t="s">
        <v>114</v>
      </c>
      <c r="AZ16" s="79" t="s">
        <v>118</v>
      </c>
      <c r="BA16" s="79" t="s">
        <v>116</v>
      </c>
      <c r="BB16" s="80" t="s">
        <v>117</v>
      </c>
      <c r="BC16" s="74" t="s">
        <v>119</v>
      </c>
      <c r="BD16" s="57"/>
      <c r="BE16" s="74" t="s">
        <v>111</v>
      </c>
      <c r="BF16" s="74" t="s">
        <v>112</v>
      </c>
      <c r="BG16" s="75" t="s">
        <v>113</v>
      </c>
      <c r="BH16" s="74" t="s">
        <v>114</v>
      </c>
      <c r="BI16" s="76" t="s">
        <v>115</v>
      </c>
      <c r="BJ16" s="76" t="s">
        <v>116</v>
      </c>
      <c r="BK16" s="74" t="s">
        <v>117</v>
      </c>
      <c r="BL16" s="77"/>
      <c r="BM16" s="78" t="s">
        <v>114</v>
      </c>
      <c r="BN16" s="79" t="s">
        <v>118</v>
      </c>
      <c r="BO16" s="79" t="s">
        <v>116</v>
      </c>
      <c r="BP16" s="80" t="s">
        <v>117</v>
      </c>
      <c r="BQ16" s="74" t="s">
        <v>119</v>
      </c>
    </row>
    <row r="17" spans="1:69" ht="38.25" x14ac:dyDescent="0.25">
      <c r="A17" s="62">
        <v>12</v>
      </c>
      <c r="B17" s="111">
        <v>1611</v>
      </c>
      <c r="C17" s="81" t="s">
        <v>120</v>
      </c>
      <c r="D17" s="82">
        <v>635468.19999999995</v>
      </c>
      <c r="E17" s="82">
        <v>175520.54</v>
      </c>
      <c r="F17" s="82">
        <v>0</v>
      </c>
      <c r="G17" s="83">
        <v>810988.74</v>
      </c>
      <c r="H17" s="84"/>
      <c r="I17" s="82">
        <v>-326271.2</v>
      </c>
      <c r="J17" s="82">
        <v>-111081</v>
      </c>
      <c r="K17" s="82">
        <v>0</v>
      </c>
      <c r="L17" s="83">
        <v>-437352.2</v>
      </c>
      <c r="M17" s="85">
        <v>373636.54</v>
      </c>
      <c r="N17" s="57"/>
      <c r="O17" s="62">
        <v>12</v>
      </c>
      <c r="P17" s="111">
        <v>1611</v>
      </c>
      <c r="Q17" s="81" t="s">
        <v>120</v>
      </c>
      <c r="R17" s="82">
        <v>812951.74</v>
      </c>
      <c r="S17" s="82">
        <v>116662.35999999999</v>
      </c>
      <c r="T17" s="82">
        <v>0</v>
      </c>
      <c r="U17" s="83">
        <v>929614.1</v>
      </c>
      <c r="V17" s="84"/>
      <c r="W17" s="82">
        <v>-438391.2</v>
      </c>
      <c r="X17" s="82">
        <v>-131660.09000000005</v>
      </c>
      <c r="Y17" s="82">
        <v>0</v>
      </c>
      <c r="Z17" s="83">
        <v>-570051.29</v>
      </c>
      <c r="AA17" s="85">
        <v>359562.80999999994</v>
      </c>
      <c r="AB17" s="57"/>
      <c r="AC17" s="62">
        <v>12</v>
      </c>
      <c r="AD17" s="111">
        <v>1611</v>
      </c>
      <c r="AE17" s="81" t="s">
        <v>120</v>
      </c>
      <c r="AF17" s="82">
        <v>929614.1</v>
      </c>
      <c r="AG17" s="82">
        <v>112925.2</v>
      </c>
      <c r="AH17" s="82">
        <v>0</v>
      </c>
      <c r="AI17" s="83">
        <v>1042539.2999999999</v>
      </c>
      <c r="AJ17" s="84"/>
      <c r="AK17" s="82">
        <v>-570051.29</v>
      </c>
      <c r="AL17" s="82">
        <v>-157588.64000000001</v>
      </c>
      <c r="AM17" s="82">
        <v>0</v>
      </c>
      <c r="AN17" s="83">
        <v>-727639.93</v>
      </c>
      <c r="AO17" s="85">
        <v>314899.36999999988</v>
      </c>
      <c r="AP17" s="57"/>
      <c r="AQ17" s="62">
        <v>12</v>
      </c>
      <c r="AR17" s="111">
        <v>1611</v>
      </c>
      <c r="AS17" s="81" t="s">
        <v>120</v>
      </c>
      <c r="AT17" s="82">
        <v>1042539.2999999999</v>
      </c>
      <c r="AU17" s="82">
        <v>886595</v>
      </c>
      <c r="AV17" s="82">
        <v>0</v>
      </c>
      <c r="AW17" s="83">
        <v>1929134.2999999998</v>
      </c>
      <c r="AX17" s="84"/>
      <c r="AY17" s="82">
        <v>-727639.93</v>
      </c>
      <c r="AZ17" s="82">
        <v>-202859</v>
      </c>
      <c r="BA17" s="82">
        <v>0</v>
      </c>
      <c r="BB17" s="83">
        <v>-930498.93</v>
      </c>
      <c r="BC17" s="85">
        <v>998635.36999999976</v>
      </c>
      <c r="BD17" s="57"/>
      <c r="BE17" s="62">
        <v>12</v>
      </c>
      <c r="BF17" s="111">
        <v>1611</v>
      </c>
      <c r="BG17" s="81" t="s">
        <v>120</v>
      </c>
      <c r="BH17" s="82">
        <v>1929134.2999999998</v>
      </c>
      <c r="BI17" s="82">
        <v>952053</v>
      </c>
      <c r="BJ17" s="82">
        <v>0</v>
      </c>
      <c r="BK17" s="83">
        <v>2881187.3</v>
      </c>
      <c r="BL17" s="84"/>
      <c r="BM17" s="82">
        <v>-930498.93</v>
      </c>
      <c r="BN17" s="82">
        <v>-346697</v>
      </c>
      <c r="BO17" s="82">
        <v>0</v>
      </c>
      <c r="BP17" s="83">
        <v>-1277195.9300000002</v>
      </c>
      <c r="BQ17" s="85">
        <v>1603991.3699999996</v>
      </c>
    </row>
    <row r="18" spans="1:69" ht="38.25" x14ac:dyDescent="0.25">
      <c r="A18" s="62" t="s">
        <v>121</v>
      </c>
      <c r="B18" s="111">
        <v>1612</v>
      </c>
      <c r="C18" s="81" t="s">
        <v>122</v>
      </c>
      <c r="D18" s="82">
        <v>94990.599999999991</v>
      </c>
      <c r="E18" s="82">
        <v>0</v>
      </c>
      <c r="F18" s="82">
        <v>0</v>
      </c>
      <c r="G18" s="83">
        <v>94990.599999999991</v>
      </c>
      <c r="H18" s="84"/>
      <c r="I18" s="82">
        <v>-7748.42</v>
      </c>
      <c r="J18" s="82">
        <v>-1780</v>
      </c>
      <c r="K18" s="82">
        <v>0</v>
      </c>
      <c r="L18" s="83">
        <v>-9528.42</v>
      </c>
      <c r="M18" s="85">
        <v>85462.18</v>
      </c>
      <c r="N18" s="57"/>
      <c r="O18" s="62" t="s">
        <v>121</v>
      </c>
      <c r="P18" s="111">
        <v>1612</v>
      </c>
      <c r="Q18" s="81" t="s">
        <v>122</v>
      </c>
      <c r="R18" s="82">
        <v>94990.599999999991</v>
      </c>
      <c r="S18" s="82">
        <v>4250</v>
      </c>
      <c r="T18" s="82">
        <v>0</v>
      </c>
      <c r="U18" s="83">
        <v>99240.599999999991</v>
      </c>
      <c r="V18" s="84"/>
      <c r="W18" s="82">
        <v>-9528.42</v>
      </c>
      <c r="X18" s="82">
        <v>-1864.2500000000005</v>
      </c>
      <c r="Y18" s="82">
        <v>0</v>
      </c>
      <c r="Z18" s="83">
        <v>-11392.67</v>
      </c>
      <c r="AA18" s="85">
        <v>87847.93</v>
      </c>
      <c r="AB18" s="57"/>
      <c r="AC18" s="62" t="s">
        <v>121</v>
      </c>
      <c r="AD18" s="111">
        <v>1612</v>
      </c>
      <c r="AE18" s="81" t="s">
        <v>122</v>
      </c>
      <c r="AF18" s="82">
        <v>99240.599999999991</v>
      </c>
      <c r="AG18" s="82">
        <v>8475</v>
      </c>
      <c r="AH18" s="82">
        <v>0</v>
      </c>
      <c r="AI18" s="83">
        <v>107715.59999999999</v>
      </c>
      <c r="AJ18" s="84"/>
      <c r="AK18" s="82">
        <v>-11392.67</v>
      </c>
      <c r="AL18" s="82">
        <v>-1949</v>
      </c>
      <c r="AM18" s="82">
        <v>0</v>
      </c>
      <c r="AN18" s="83">
        <v>-13341.67</v>
      </c>
      <c r="AO18" s="85">
        <v>94373.93</v>
      </c>
      <c r="AP18" s="57"/>
      <c r="AQ18" s="62" t="s">
        <v>121</v>
      </c>
      <c r="AR18" s="111">
        <v>1612</v>
      </c>
      <c r="AS18" s="81" t="s">
        <v>122</v>
      </c>
      <c r="AT18" s="82">
        <v>107715.59999999999</v>
      </c>
      <c r="AU18" s="82">
        <v>0</v>
      </c>
      <c r="AV18" s="82">
        <v>0</v>
      </c>
      <c r="AW18" s="83">
        <v>107715.59999999999</v>
      </c>
      <c r="AX18" s="84"/>
      <c r="AY18" s="82">
        <v>-13341.67</v>
      </c>
      <c r="AZ18" s="82">
        <v>-2035</v>
      </c>
      <c r="BA18" s="82">
        <v>0</v>
      </c>
      <c r="BB18" s="83">
        <v>-15376.67</v>
      </c>
      <c r="BC18" s="85">
        <v>92338.93</v>
      </c>
      <c r="BD18" s="57"/>
      <c r="BE18" s="62" t="s">
        <v>121</v>
      </c>
      <c r="BF18" s="111">
        <v>1612</v>
      </c>
      <c r="BG18" s="81" t="s">
        <v>122</v>
      </c>
      <c r="BH18" s="82">
        <v>107715.59999999999</v>
      </c>
      <c r="BI18" s="82">
        <v>0</v>
      </c>
      <c r="BJ18" s="82">
        <v>0</v>
      </c>
      <c r="BK18" s="83">
        <v>107715.59999999999</v>
      </c>
      <c r="BL18" s="84"/>
      <c r="BM18" s="82">
        <v>-15376.67</v>
      </c>
      <c r="BN18" s="82">
        <v>-2035</v>
      </c>
      <c r="BO18" s="82">
        <v>0</v>
      </c>
      <c r="BP18" s="83">
        <v>-17411.669999999998</v>
      </c>
      <c r="BQ18" s="85">
        <v>90303.93</v>
      </c>
    </row>
    <row r="19" spans="1:69" x14ac:dyDescent="0.25">
      <c r="A19" s="62" t="s">
        <v>123</v>
      </c>
      <c r="B19" s="86">
        <v>1805</v>
      </c>
      <c r="C19" s="87" t="s">
        <v>124</v>
      </c>
      <c r="D19" s="82">
        <v>181960.63000000003</v>
      </c>
      <c r="E19" s="82">
        <v>0</v>
      </c>
      <c r="F19" s="82">
        <v>0</v>
      </c>
      <c r="G19" s="83">
        <v>181960.63000000003</v>
      </c>
      <c r="H19" s="84"/>
      <c r="I19" s="82">
        <v>0</v>
      </c>
      <c r="J19" s="82">
        <v>0</v>
      </c>
      <c r="K19" s="82">
        <v>0</v>
      </c>
      <c r="L19" s="83">
        <v>0</v>
      </c>
      <c r="M19" s="85">
        <v>181960.63000000003</v>
      </c>
      <c r="N19" s="57"/>
      <c r="O19" s="62" t="s">
        <v>123</v>
      </c>
      <c r="P19" s="86">
        <v>1805</v>
      </c>
      <c r="Q19" s="87" t="s">
        <v>124</v>
      </c>
      <c r="R19" s="82">
        <v>181960.63000000003</v>
      </c>
      <c r="S19" s="82">
        <v>0</v>
      </c>
      <c r="T19" s="82">
        <v>0</v>
      </c>
      <c r="U19" s="83">
        <v>181960.63000000003</v>
      </c>
      <c r="V19" s="84"/>
      <c r="W19" s="82">
        <v>0</v>
      </c>
      <c r="X19" s="82">
        <v>0</v>
      </c>
      <c r="Y19" s="82">
        <v>0</v>
      </c>
      <c r="Z19" s="83">
        <v>0</v>
      </c>
      <c r="AA19" s="85">
        <v>181960.63000000003</v>
      </c>
      <c r="AB19" s="57"/>
      <c r="AC19" s="62" t="s">
        <v>123</v>
      </c>
      <c r="AD19" s="86">
        <v>1805</v>
      </c>
      <c r="AE19" s="87" t="s">
        <v>124</v>
      </c>
      <c r="AF19" s="82">
        <v>181960.63000000003</v>
      </c>
      <c r="AG19" s="82">
        <v>0</v>
      </c>
      <c r="AH19" s="82">
        <v>0</v>
      </c>
      <c r="AI19" s="83">
        <v>181960.63000000003</v>
      </c>
      <c r="AJ19" s="84"/>
      <c r="AK19" s="82">
        <v>0</v>
      </c>
      <c r="AL19" s="82">
        <v>0</v>
      </c>
      <c r="AM19" s="82">
        <v>0</v>
      </c>
      <c r="AN19" s="83">
        <v>0</v>
      </c>
      <c r="AO19" s="85">
        <v>181960.63000000003</v>
      </c>
      <c r="AP19" s="57"/>
      <c r="AQ19" s="62" t="s">
        <v>123</v>
      </c>
      <c r="AR19" s="86">
        <v>1805</v>
      </c>
      <c r="AS19" s="87" t="s">
        <v>124</v>
      </c>
      <c r="AT19" s="82">
        <v>181960.63000000003</v>
      </c>
      <c r="AU19" s="82">
        <v>0</v>
      </c>
      <c r="AV19" s="82">
        <v>0</v>
      </c>
      <c r="AW19" s="83">
        <v>181960.63000000003</v>
      </c>
      <c r="AX19" s="84"/>
      <c r="AY19" s="82">
        <v>0</v>
      </c>
      <c r="AZ19" s="82">
        <v>0</v>
      </c>
      <c r="BA19" s="82">
        <v>0</v>
      </c>
      <c r="BB19" s="83">
        <v>0</v>
      </c>
      <c r="BC19" s="85">
        <v>181960.63000000003</v>
      </c>
      <c r="BD19" s="57"/>
      <c r="BE19" s="62" t="s">
        <v>123</v>
      </c>
      <c r="BF19" s="86">
        <v>1805</v>
      </c>
      <c r="BG19" s="87" t="s">
        <v>124</v>
      </c>
      <c r="BH19" s="82">
        <v>181960.63000000003</v>
      </c>
      <c r="BI19" s="82">
        <v>0</v>
      </c>
      <c r="BJ19" s="82">
        <v>0</v>
      </c>
      <c r="BK19" s="83">
        <v>181960.63000000003</v>
      </c>
      <c r="BL19" s="84"/>
      <c r="BM19" s="82">
        <v>0</v>
      </c>
      <c r="BN19" s="82">
        <v>0</v>
      </c>
      <c r="BO19" s="82">
        <v>0</v>
      </c>
      <c r="BP19" s="83">
        <v>0</v>
      </c>
      <c r="BQ19" s="85">
        <v>181960.63000000003</v>
      </c>
    </row>
    <row r="20" spans="1:69" x14ac:dyDescent="0.25">
      <c r="A20" s="62">
        <v>47</v>
      </c>
      <c r="B20" s="86">
        <v>1808</v>
      </c>
      <c r="C20" s="88" t="s">
        <v>125</v>
      </c>
      <c r="D20" s="82">
        <v>1163731.71</v>
      </c>
      <c r="E20" s="82">
        <v>0</v>
      </c>
      <c r="F20" s="82">
        <v>0</v>
      </c>
      <c r="G20" s="83">
        <v>1163731.71</v>
      </c>
      <c r="H20" s="84"/>
      <c r="I20" s="82">
        <v>-194531.9</v>
      </c>
      <c r="J20" s="82">
        <v>-27470</v>
      </c>
      <c r="K20" s="82">
        <v>0</v>
      </c>
      <c r="L20" s="83">
        <v>-222001.9</v>
      </c>
      <c r="M20" s="85">
        <v>941729.80999999994</v>
      </c>
      <c r="N20" s="57"/>
      <c r="O20" s="62">
        <v>47</v>
      </c>
      <c r="P20" s="86">
        <v>1808</v>
      </c>
      <c r="Q20" s="88" t="s">
        <v>125</v>
      </c>
      <c r="R20" s="82">
        <v>1163731.71</v>
      </c>
      <c r="S20" s="82">
        <v>3855</v>
      </c>
      <c r="T20" s="82">
        <v>0</v>
      </c>
      <c r="U20" s="83">
        <v>1167586.71</v>
      </c>
      <c r="V20" s="84"/>
      <c r="W20" s="82">
        <v>-222001.9</v>
      </c>
      <c r="X20" s="82">
        <v>-27527.460000000006</v>
      </c>
      <c r="Y20" s="82">
        <v>0</v>
      </c>
      <c r="Z20" s="83">
        <v>-249529.36</v>
      </c>
      <c r="AA20" s="85">
        <v>918057.35</v>
      </c>
      <c r="AB20" s="57"/>
      <c r="AC20" s="62">
        <v>47</v>
      </c>
      <c r="AD20" s="86">
        <v>1808</v>
      </c>
      <c r="AE20" s="88" t="s">
        <v>125</v>
      </c>
      <c r="AF20" s="82">
        <v>1167586.71</v>
      </c>
      <c r="AG20" s="82">
        <v>0</v>
      </c>
      <c r="AH20" s="82">
        <v>0</v>
      </c>
      <c r="AI20" s="83">
        <v>1167586.71</v>
      </c>
      <c r="AJ20" s="84"/>
      <c r="AK20" s="82">
        <v>-249529.36</v>
      </c>
      <c r="AL20" s="82">
        <v>-27604.58</v>
      </c>
      <c r="AM20" s="82">
        <v>0</v>
      </c>
      <c r="AN20" s="83">
        <v>-277133.94</v>
      </c>
      <c r="AO20" s="85">
        <v>890452.77</v>
      </c>
      <c r="AP20" s="57"/>
      <c r="AQ20" s="62">
        <v>47</v>
      </c>
      <c r="AR20" s="86">
        <v>1808</v>
      </c>
      <c r="AS20" s="88" t="s">
        <v>125</v>
      </c>
      <c r="AT20" s="82">
        <v>1167586.71</v>
      </c>
      <c r="AU20" s="82">
        <v>0</v>
      </c>
      <c r="AV20" s="82">
        <v>0</v>
      </c>
      <c r="AW20" s="83">
        <v>1167586.71</v>
      </c>
      <c r="AX20" s="84"/>
      <c r="AY20" s="82">
        <v>-277133.94</v>
      </c>
      <c r="AZ20" s="82">
        <v>-27623</v>
      </c>
      <c r="BA20" s="82">
        <v>0</v>
      </c>
      <c r="BB20" s="83">
        <v>-304756.94</v>
      </c>
      <c r="BC20" s="85">
        <v>862829.77</v>
      </c>
      <c r="BD20" s="57"/>
      <c r="BE20" s="62">
        <v>47</v>
      </c>
      <c r="BF20" s="86">
        <v>1808</v>
      </c>
      <c r="BG20" s="88" t="s">
        <v>125</v>
      </c>
      <c r="BH20" s="82">
        <v>1167586.71</v>
      </c>
      <c r="BI20" s="82">
        <v>0</v>
      </c>
      <c r="BJ20" s="82">
        <v>0</v>
      </c>
      <c r="BK20" s="83">
        <v>1167586.71</v>
      </c>
      <c r="BL20" s="84"/>
      <c r="BM20" s="82">
        <v>-304756.94</v>
      </c>
      <c r="BN20" s="82">
        <v>-27623</v>
      </c>
      <c r="BO20" s="82">
        <v>0</v>
      </c>
      <c r="BP20" s="83">
        <v>-332379.94</v>
      </c>
      <c r="BQ20" s="85">
        <v>835206.77</v>
      </c>
    </row>
    <row r="21" spans="1:69" ht="25.5" x14ac:dyDescent="0.25">
      <c r="A21" s="62">
        <v>13</v>
      </c>
      <c r="B21" s="86">
        <v>1810</v>
      </c>
      <c r="C21" s="88" t="s">
        <v>126</v>
      </c>
      <c r="D21" s="82">
        <v>0</v>
      </c>
      <c r="E21" s="82">
        <v>0</v>
      </c>
      <c r="F21" s="82">
        <v>0</v>
      </c>
      <c r="G21" s="83">
        <v>0</v>
      </c>
      <c r="H21" s="84"/>
      <c r="I21" s="82">
        <v>0</v>
      </c>
      <c r="J21" s="82">
        <v>0</v>
      </c>
      <c r="K21" s="82">
        <v>0</v>
      </c>
      <c r="L21" s="83">
        <v>0</v>
      </c>
      <c r="M21" s="85">
        <v>0</v>
      </c>
      <c r="N21" s="57"/>
      <c r="O21" s="62">
        <v>13</v>
      </c>
      <c r="P21" s="86">
        <v>1810</v>
      </c>
      <c r="Q21" s="88" t="s">
        <v>126</v>
      </c>
      <c r="R21" s="82">
        <v>0</v>
      </c>
      <c r="S21" s="82">
        <v>0</v>
      </c>
      <c r="T21" s="82">
        <v>0</v>
      </c>
      <c r="U21" s="83">
        <v>0</v>
      </c>
      <c r="V21" s="84"/>
      <c r="W21" s="82">
        <v>0</v>
      </c>
      <c r="X21" s="82">
        <v>0</v>
      </c>
      <c r="Y21" s="82">
        <v>0</v>
      </c>
      <c r="Z21" s="83">
        <v>0</v>
      </c>
      <c r="AA21" s="85">
        <v>0</v>
      </c>
      <c r="AB21" s="57"/>
      <c r="AC21" s="62">
        <v>13</v>
      </c>
      <c r="AD21" s="86">
        <v>1810</v>
      </c>
      <c r="AE21" s="88" t="s">
        <v>126</v>
      </c>
      <c r="AF21" s="82">
        <v>0</v>
      </c>
      <c r="AG21" s="82">
        <v>0</v>
      </c>
      <c r="AH21" s="82">
        <v>0</v>
      </c>
      <c r="AI21" s="83">
        <v>0</v>
      </c>
      <c r="AJ21" s="84"/>
      <c r="AK21" s="82">
        <v>0</v>
      </c>
      <c r="AL21" s="82">
        <v>0</v>
      </c>
      <c r="AM21" s="82">
        <v>0</v>
      </c>
      <c r="AN21" s="83">
        <v>0</v>
      </c>
      <c r="AO21" s="85">
        <v>0</v>
      </c>
      <c r="AP21" s="57"/>
      <c r="AQ21" s="62">
        <v>13</v>
      </c>
      <c r="AR21" s="86">
        <v>1810</v>
      </c>
      <c r="AS21" s="88" t="s">
        <v>126</v>
      </c>
      <c r="AT21" s="82">
        <v>0</v>
      </c>
      <c r="AU21" s="82">
        <v>0</v>
      </c>
      <c r="AV21" s="82">
        <v>0</v>
      </c>
      <c r="AW21" s="83">
        <v>0</v>
      </c>
      <c r="AX21" s="84"/>
      <c r="AY21" s="82">
        <v>0</v>
      </c>
      <c r="AZ21" s="82">
        <v>0</v>
      </c>
      <c r="BA21" s="82">
        <v>0</v>
      </c>
      <c r="BB21" s="83">
        <v>0</v>
      </c>
      <c r="BC21" s="85">
        <v>0</v>
      </c>
      <c r="BD21" s="57"/>
      <c r="BE21" s="62">
        <v>13</v>
      </c>
      <c r="BF21" s="86">
        <v>1810</v>
      </c>
      <c r="BG21" s="88" t="s">
        <v>126</v>
      </c>
      <c r="BH21" s="82">
        <v>0</v>
      </c>
      <c r="BI21" s="82">
        <v>0</v>
      </c>
      <c r="BJ21" s="82">
        <v>0</v>
      </c>
      <c r="BK21" s="83">
        <v>0</v>
      </c>
      <c r="BL21" s="84"/>
      <c r="BM21" s="82">
        <v>0</v>
      </c>
      <c r="BN21" s="82">
        <v>0</v>
      </c>
      <c r="BO21" s="82">
        <v>0</v>
      </c>
      <c r="BP21" s="83">
        <v>0</v>
      </c>
      <c r="BQ21" s="85">
        <v>0</v>
      </c>
    </row>
    <row r="22" spans="1:69" ht="25.5" x14ac:dyDescent="0.25">
      <c r="A22" s="62">
        <v>47</v>
      </c>
      <c r="B22" s="86">
        <v>1815</v>
      </c>
      <c r="C22" s="88" t="s">
        <v>127</v>
      </c>
      <c r="D22" s="82">
        <v>3926202.13</v>
      </c>
      <c r="E22" s="82">
        <v>0</v>
      </c>
      <c r="F22" s="82">
        <v>0</v>
      </c>
      <c r="G22" s="83">
        <v>3926202.13</v>
      </c>
      <c r="H22" s="84"/>
      <c r="I22" s="82">
        <v>-777488.39</v>
      </c>
      <c r="J22" s="82">
        <v>-97774</v>
      </c>
      <c r="K22" s="82">
        <v>0</v>
      </c>
      <c r="L22" s="83">
        <v>-875262.39</v>
      </c>
      <c r="M22" s="85">
        <v>3050939.7399999998</v>
      </c>
      <c r="N22" s="57"/>
      <c r="O22" s="62">
        <v>47</v>
      </c>
      <c r="P22" s="86">
        <v>1815</v>
      </c>
      <c r="Q22" s="88" t="s">
        <v>127</v>
      </c>
      <c r="R22" s="82">
        <v>3926202.13</v>
      </c>
      <c r="S22" s="82">
        <v>29806.469999999998</v>
      </c>
      <c r="T22" s="82">
        <v>0</v>
      </c>
      <c r="U22" s="83">
        <v>3956008.6</v>
      </c>
      <c r="V22" s="84"/>
      <c r="W22" s="82">
        <v>-875262.39</v>
      </c>
      <c r="X22" s="82">
        <v>-98201.430000000022</v>
      </c>
      <c r="Y22" s="82">
        <v>0</v>
      </c>
      <c r="Z22" s="83">
        <v>-973463.82000000007</v>
      </c>
      <c r="AA22" s="85">
        <v>2982544.7800000003</v>
      </c>
      <c r="AB22" s="57"/>
      <c r="AC22" s="62">
        <v>47</v>
      </c>
      <c r="AD22" s="86">
        <v>1815</v>
      </c>
      <c r="AE22" s="88" t="s">
        <v>127</v>
      </c>
      <c r="AF22" s="82">
        <v>3956008.6</v>
      </c>
      <c r="AG22" s="82">
        <v>682622.2</v>
      </c>
      <c r="AH22" s="82">
        <v>0</v>
      </c>
      <c r="AI22" s="83">
        <v>4638630.8</v>
      </c>
      <c r="AJ22" s="84"/>
      <c r="AK22" s="82">
        <v>-973463.82000000007</v>
      </c>
      <c r="AL22" s="82">
        <v>-110075.25</v>
      </c>
      <c r="AM22" s="82">
        <v>0</v>
      </c>
      <c r="AN22" s="83">
        <v>-1083539.07</v>
      </c>
      <c r="AO22" s="85">
        <v>3555091.7299999995</v>
      </c>
      <c r="AP22" s="57"/>
      <c r="AQ22" s="62">
        <v>47</v>
      </c>
      <c r="AR22" s="86">
        <v>1815</v>
      </c>
      <c r="AS22" s="88" t="s">
        <v>127</v>
      </c>
      <c r="AT22" s="82">
        <v>4638630.8</v>
      </c>
      <c r="AU22" s="82">
        <v>0</v>
      </c>
      <c r="AV22" s="82">
        <v>0</v>
      </c>
      <c r="AW22" s="83">
        <v>4638630.8</v>
      </c>
      <c r="AX22" s="84"/>
      <c r="AY22" s="82">
        <v>-1083539.07</v>
      </c>
      <c r="AZ22" s="82">
        <v>-113604.38222222222</v>
      </c>
      <c r="BA22" s="82">
        <v>0</v>
      </c>
      <c r="BB22" s="83">
        <v>-1197143.4522222222</v>
      </c>
      <c r="BC22" s="85">
        <v>3441487.3477777774</v>
      </c>
      <c r="BD22" s="57"/>
      <c r="BE22" s="62">
        <v>47</v>
      </c>
      <c r="BF22" s="86">
        <v>1815</v>
      </c>
      <c r="BG22" s="88" t="s">
        <v>127</v>
      </c>
      <c r="BH22" s="82">
        <v>4638630.8</v>
      </c>
      <c r="BI22" s="82">
        <v>0</v>
      </c>
      <c r="BJ22" s="82">
        <v>0</v>
      </c>
      <c r="BK22" s="83">
        <v>4638630.8</v>
      </c>
      <c r="BL22" s="84"/>
      <c r="BM22" s="82">
        <v>-1197143.4522222222</v>
      </c>
      <c r="BN22" s="82">
        <v>-113604.38222222222</v>
      </c>
      <c r="BO22" s="82">
        <v>0</v>
      </c>
      <c r="BP22" s="83">
        <v>-1310747.8344444444</v>
      </c>
      <c r="BQ22" s="85">
        <v>3327882.9655555552</v>
      </c>
    </row>
    <row r="23" spans="1:69" ht="25.5" x14ac:dyDescent="0.25">
      <c r="A23" s="62">
        <v>47</v>
      </c>
      <c r="B23" s="86">
        <v>1820</v>
      </c>
      <c r="C23" s="81" t="s">
        <v>128</v>
      </c>
      <c r="D23" s="82">
        <v>74426.569999999992</v>
      </c>
      <c r="E23" s="82">
        <v>6256.67</v>
      </c>
      <c r="F23" s="82">
        <v>0</v>
      </c>
      <c r="G23" s="83">
        <v>80683.239999999991</v>
      </c>
      <c r="H23" s="84"/>
      <c r="I23" s="82">
        <v>-30024.51</v>
      </c>
      <c r="J23" s="82">
        <v>-2703</v>
      </c>
      <c r="K23" s="82">
        <v>0</v>
      </c>
      <c r="L23" s="83">
        <v>-32727.51</v>
      </c>
      <c r="M23" s="85">
        <v>47955.729999999996</v>
      </c>
      <c r="N23" s="57"/>
      <c r="O23" s="62">
        <v>47</v>
      </c>
      <c r="P23" s="86">
        <v>1820</v>
      </c>
      <c r="Q23" s="81" t="s">
        <v>128</v>
      </c>
      <c r="R23" s="82">
        <v>80683.239999999991</v>
      </c>
      <c r="S23" s="82">
        <v>0</v>
      </c>
      <c r="T23" s="82">
        <v>0</v>
      </c>
      <c r="U23" s="83">
        <v>80683.239999999991</v>
      </c>
      <c r="V23" s="84"/>
      <c r="W23" s="82">
        <v>-32727.51</v>
      </c>
      <c r="X23" s="82">
        <v>-42008.150000000009</v>
      </c>
      <c r="Y23" s="82">
        <v>0</v>
      </c>
      <c r="Z23" s="83">
        <v>-74735.66</v>
      </c>
      <c r="AA23" s="85">
        <v>5947.5799999999872</v>
      </c>
      <c r="AB23" s="57"/>
      <c r="AC23" s="62">
        <v>47</v>
      </c>
      <c r="AD23" s="86">
        <v>1820</v>
      </c>
      <c r="AE23" s="81" t="s">
        <v>128</v>
      </c>
      <c r="AF23" s="82">
        <v>80683.239999999991</v>
      </c>
      <c r="AG23" s="82">
        <v>0</v>
      </c>
      <c r="AH23" s="82">
        <v>0</v>
      </c>
      <c r="AI23" s="83">
        <v>80683.239999999991</v>
      </c>
      <c r="AJ23" s="84"/>
      <c r="AK23" s="82">
        <v>-74735.66</v>
      </c>
      <c r="AL23" s="82">
        <v>-205.09</v>
      </c>
      <c r="AM23" s="82">
        <v>0</v>
      </c>
      <c r="AN23" s="83">
        <v>-74940.75</v>
      </c>
      <c r="AO23" s="85">
        <v>5742.4899999999907</v>
      </c>
      <c r="AP23" s="57"/>
      <c r="AQ23" s="62">
        <v>47</v>
      </c>
      <c r="AR23" s="86">
        <v>1820</v>
      </c>
      <c r="AS23" s="81" t="s">
        <v>128</v>
      </c>
      <c r="AT23" s="82">
        <v>80683.239999999991</v>
      </c>
      <c r="AU23" s="82">
        <v>0</v>
      </c>
      <c r="AV23" s="82">
        <v>0</v>
      </c>
      <c r="AW23" s="83">
        <v>80683.239999999991</v>
      </c>
      <c r="AX23" s="84"/>
      <c r="AY23" s="82">
        <v>-74940.75</v>
      </c>
      <c r="AZ23" s="82">
        <v>-212</v>
      </c>
      <c r="BA23" s="82">
        <v>0</v>
      </c>
      <c r="BB23" s="83">
        <v>-75152.75</v>
      </c>
      <c r="BC23" s="85">
        <v>5530.4899999999907</v>
      </c>
      <c r="BD23" s="57"/>
      <c r="BE23" s="62">
        <v>47</v>
      </c>
      <c r="BF23" s="86">
        <v>1820</v>
      </c>
      <c r="BG23" s="81" t="s">
        <v>128</v>
      </c>
      <c r="BH23" s="82">
        <v>80683.239999999991</v>
      </c>
      <c r="BI23" s="82">
        <v>0</v>
      </c>
      <c r="BJ23" s="82">
        <v>0</v>
      </c>
      <c r="BK23" s="83">
        <v>80683.239999999991</v>
      </c>
      <c r="BL23" s="84"/>
      <c r="BM23" s="82">
        <v>-75152.75</v>
      </c>
      <c r="BN23" s="82">
        <v>-212</v>
      </c>
      <c r="BO23" s="82">
        <v>0</v>
      </c>
      <c r="BP23" s="83">
        <v>-75364.75</v>
      </c>
      <c r="BQ23" s="85">
        <v>5318.4899999999907</v>
      </c>
    </row>
    <row r="24" spans="1:69" ht="25.5" x14ac:dyDescent="0.25">
      <c r="A24" s="62">
        <v>47</v>
      </c>
      <c r="B24" s="86">
        <v>1825</v>
      </c>
      <c r="C24" s="88" t="s">
        <v>129</v>
      </c>
      <c r="D24" s="82">
        <v>0</v>
      </c>
      <c r="E24" s="82">
        <v>0</v>
      </c>
      <c r="F24" s="82">
        <v>0</v>
      </c>
      <c r="G24" s="83">
        <v>0</v>
      </c>
      <c r="H24" s="84"/>
      <c r="I24" s="82">
        <v>0</v>
      </c>
      <c r="J24" s="82">
        <v>0</v>
      </c>
      <c r="K24" s="82">
        <v>0</v>
      </c>
      <c r="L24" s="83">
        <v>0</v>
      </c>
      <c r="M24" s="85">
        <v>0</v>
      </c>
      <c r="N24" s="57"/>
      <c r="O24" s="62">
        <v>47</v>
      </c>
      <c r="P24" s="86">
        <v>1825</v>
      </c>
      <c r="Q24" s="88" t="s">
        <v>129</v>
      </c>
      <c r="R24" s="82">
        <v>0</v>
      </c>
      <c r="S24" s="82">
        <v>0</v>
      </c>
      <c r="T24" s="82">
        <v>0</v>
      </c>
      <c r="U24" s="83">
        <v>0</v>
      </c>
      <c r="V24" s="84"/>
      <c r="W24" s="82">
        <v>0</v>
      </c>
      <c r="X24" s="82">
        <v>0</v>
      </c>
      <c r="Y24" s="82">
        <v>0</v>
      </c>
      <c r="Z24" s="83">
        <v>0</v>
      </c>
      <c r="AA24" s="85">
        <v>0</v>
      </c>
      <c r="AB24" s="57"/>
      <c r="AC24" s="62">
        <v>47</v>
      </c>
      <c r="AD24" s="86">
        <v>1825</v>
      </c>
      <c r="AE24" s="88" t="s">
        <v>129</v>
      </c>
      <c r="AF24" s="82">
        <v>0</v>
      </c>
      <c r="AG24" s="82">
        <v>0</v>
      </c>
      <c r="AH24" s="82">
        <v>0</v>
      </c>
      <c r="AI24" s="83">
        <v>0</v>
      </c>
      <c r="AJ24" s="84"/>
      <c r="AK24" s="82">
        <v>0</v>
      </c>
      <c r="AL24" s="82">
        <v>0</v>
      </c>
      <c r="AM24" s="82">
        <v>0</v>
      </c>
      <c r="AN24" s="83">
        <v>0</v>
      </c>
      <c r="AO24" s="85">
        <v>0</v>
      </c>
      <c r="AP24" s="57"/>
      <c r="AQ24" s="62">
        <v>47</v>
      </c>
      <c r="AR24" s="86">
        <v>1825</v>
      </c>
      <c r="AS24" s="88" t="s">
        <v>129</v>
      </c>
      <c r="AT24" s="82">
        <v>0</v>
      </c>
      <c r="AU24" s="82">
        <v>0</v>
      </c>
      <c r="AV24" s="82">
        <v>0</v>
      </c>
      <c r="AW24" s="83">
        <v>0</v>
      </c>
      <c r="AX24" s="84"/>
      <c r="AY24" s="82">
        <v>0</v>
      </c>
      <c r="AZ24" s="82">
        <v>0</v>
      </c>
      <c r="BA24" s="82">
        <v>0</v>
      </c>
      <c r="BB24" s="83">
        <v>0</v>
      </c>
      <c r="BC24" s="85">
        <v>0</v>
      </c>
      <c r="BD24" s="57"/>
      <c r="BE24" s="62">
        <v>47</v>
      </c>
      <c r="BF24" s="86">
        <v>1825</v>
      </c>
      <c r="BG24" s="88" t="s">
        <v>129</v>
      </c>
      <c r="BH24" s="82">
        <v>0</v>
      </c>
      <c r="BI24" s="82">
        <v>0</v>
      </c>
      <c r="BJ24" s="82">
        <v>0</v>
      </c>
      <c r="BK24" s="83">
        <v>0</v>
      </c>
      <c r="BL24" s="84"/>
      <c r="BM24" s="82">
        <v>0</v>
      </c>
      <c r="BN24" s="82">
        <v>0</v>
      </c>
      <c r="BO24" s="82">
        <v>0</v>
      </c>
      <c r="BP24" s="83">
        <v>0</v>
      </c>
      <c r="BQ24" s="85">
        <v>0</v>
      </c>
    </row>
    <row r="25" spans="1:69" ht="25.5" x14ac:dyDescent="0.25">
      <c r="A25" s="62">
        <v>47</v>
      </c>
      <c r="B25" s="86">
        <v>1830</v>
      </c>
      <c r="C25" s="88" t="s">
        <v>130</v>
      </c>
      <c r="D25" s="82">
        <v>16985230.599999998</v>
      </c>
      <c r="E25" s="82">
        <v>579999.93999999994</v>
      </c>
      <c r="F25" s="82">
        <v>0</v>
      </c>
      <c r="G25" s="83">
        <v>17565230.539999999</v>
      </c>
      <c r="H25" s="84"/>
      <c r="I25" s="82">
        <v>-6446862.6500000013</v>
      </c>
      <c r="J25" s="82">
        <v>-415729.95</v>
      </c>
      <c r="K25" s="82">
        <v>0</v>
      </c>
      <c r="L25" s="83">
        <v>-6862592.6000000015</v>
      </c>
      <c r="M25" s="85">
        <v>10702637.939999998</v>
      </c>
      <c r="N25" s="57"/>
      <c r="O25" s="62">
        <v>47</v>
      </c>
      <c r="P25" s="86">
        <v>1830</v>
      </c>
      <c r="Q25" s="88" t="s">
        <v>130</v>
      </c>
      <c r="R25" s="82">
        <v>17565230.539999999</v>
      </c>
      <c r="S25" s="82">
        <v>712830.60999999987</v>
      </c>
      <c r="T25" s="82">
        <v>-31551.480000000003</v>
      </c>
      <c r="U25" s="83">
        <v>18246509.669999998</v>
      </c>
      <c r="V25" s="84"/>
      <c r="W25" s="82">
        <v>-6862592.6000000015</v>
      </c>
      <c r="X25" s="82">
        <v>-397104.67000000004</v>
      </c>
      <c r="Y25" s="82">
        <v>22334.300000000003</v>
      </c>
      <c r="Z25" s="83">
        <v>-7237362.9700000016</v>
      </c>
      <c r="AA25" s="85">
        <v>11009146.699999996</v>
      </c>
      <c r="AB25" s="57"/>
      <c r="AC25" s="62">
        <v>47</v>
      </c>
      <c r="AD25" s="86">
        <v>1830</v>
      </c>
      <c r="AE25" s="88" t="s">
        <v>130</v>
      </c>
      <c r="AF25" s="82">
        <v>18246509.669999998</v>
      </c>
      <c r="AG25" s="82">
        <v>716189.3899999999</v>
      </c>
      <c r="AH25" s="82">
        <v>-25182.73</v>
      </c>
      <c r="AI25" s="83">
        <v>18937516.329999998</v>
      </c>
      <c r="AJ25" s="84"/>
      <c r="AK25" s="82">
        <v>-7237362.9700000016</v>
      </c>
      <c r="AL25" s="82">
        <v>-376762.62</v>
      </c>
      <c r="AM25" s="82">
        <v>16245.39</v>
      </c>
      <c r="AN25" s="83">
        <v>-7597880.200000002</v>
      </c>
      <c r="AO25" s="85">
        <v>11339636.129999995</v>
      </c>
      <c r="AP25" s="57"/>
      <c r="AQ25" s="62">
        <v>47</v>
      </c>
      <c r="AR25" s="86">
        <v>1830</v>
      </c>
      <c r="AS25" s="88" t="s">
        <v>130</v>
      </c>
      <c r="AT25" s="82">
        <v>18937516.329999998</v>
      </c>
      <c r="AU25" s="82">
        <v>217020.57</v>
      </c>
      <c r="AV25" s="82">
        <v>-30000</v>
      </c>
      <c r="AW25" s="83">
        <v>19124536.899999999</v>
      </c>
      <c r="AX25" s="84"/>
      <c r="AY25" s="82">
        <v>-7597880.200000002</v>
      </c>
      <c r="AZ25" s="82">
        <v>-386588.91716666665</v>
      </c>
      <c r="BA25" s="82">
        <v>20000</v>
      </c>
      <c r="BB25" s="83">
        <v>-7964469.1171666691</v>
      </c>
      <c r="BC25" s="85">
        <v>11160067.78283333</v>
      </c>
      <c r="BD25" s="57"/>
      <c r="BE25" s="62">
        <v>47</v>
      </c>
      <c r="BF25" s="86">
        <v>1830</v>
      </c>
      <c r="BG25" s="88" t="s">
        <v>130</v>
      </c>
      <c r="BH25" s="82">
        <v>19124536.899999999</v>
      </c>
      <c r="BI25" s="82">
        <v>199574</v>
      </c>
      <c r="BJ25" s="82">
        <v>-30000</v>
      </c>
      <c r="BK25" s="83">
        <v>19294110.899999999</v>
      </c>
      <c r="BL25" s="84"/>
      <c r="BM25" s="82">
        <v>-7964469.1171666691</v>
      </c>
      <c r="BN25" s="82">
        <v>-379289.68716666661</v>
      </c>
      <c r="BO25" s="82">
        <v>20000</v>
      </c>
      <c r="BP25" s="83">
        <v>-8323758.8043333357</v>
      </c>
      <c r="BQ25" s="85">
        <v>10970352.095666662</v>
      </c>
    </row>
    <row r="26" spans="1:69" ht="25.5" x14ac:dyDescent="0.25">
      <c r="A26" s="62">
        <v>47</v>
      </c>
      <c r="B26" s="86">
        <v>1835</v>
      </c>
      <c r="C26" s="88" t="s">
        <v>131</v>
      </c>
      <c r="D26" s="82">
        <v>12726608.73</v>
      </c>
      <c r="E26" s="82">
        <v>428599.15</v>
      </c>
      <c r="F26" s="82">
        <v>0</v>
      </c>
      <c r="G26" s="83">
        <v>13155207.880000001</v>
      </c>
      <c r="H26" s="84"/>
      <c r="I26" s="82">
        <v>-4432367.33</v>
      </c>
      <c r="J26" s="82">
        <v>-225373</v>
      </c>
      <c r="K26" s="82">
        <v>0</v>
      </c>
      <c r="L26" s="83">
        <v>-4657740.33</v>
      </c>
      <c r="M26" s="85">
        <v>8497467.5500000007</v>
      </c>
      <c r="N26" s="57"/>
      <c r="O26" s="62">
        <v>47</v>
      </c>
      <c r="P26" s="86">
        <v>1835</v>
      </c>
      <c r="Q26" s="88" t="s">
        <v>131</v>
      </c>
      <c r="R26" s="82">
        <v>13155207.880000001</v>
      </c>
      <c r="S26" s="82">
        <v>628242.79999999993</v>
      </c>
      <c r="T26" s="82">
        <v>0</v>
      </c>
      <c r="U26" s="83">
        <v>13783450.680000002</v>
      </c>
      <c r="V26" s="84"/>
      <c r="W26" s="82">
        <v>-4657740.33</v>
      </c>
      <c r="X26" s="82">
        <v>-237339.87000000005</v>
      </c>
      <c r="Y26" s="82">
        <v>0</v>
      </c>
      <c r="Z26" s="83">
        <v>-4895080.2</v>
      </c>
      <c r="AA26" s="85">
        <v>8888370.4800000004</v>
      </c>
      <c r="AB26" s="57"/>
      <c r="AC26" s="62">
        <v>47</v>
      </c>
      <c r="AD26" s="86">
        <v>1835</v>
      </c>
      <c r="AE26" s="88" t="s">
        <v>131</v>
      </c>
      <c r="AF26" s="82">
        <v>13783450.680000002</v>
      </c>
      <c r="AG26" s="82">
        <v>506479.34</v>
      </c>
      <c r="AH26" s="82">
        <v>0</v>
      </c>
      <c r="AI26" s="83">
        <v>14289930.020000001</v>
      </c>
      <c r="AJ26" s="84"/>
      <c r="AK26" s="82">
        <v>-4895080.2</v>
      </c>
      <c r="AL26" s="82">
        <v>-248211.43</v>
      </c>
      <c r="AM26" s="82">
        <v>0</v>
      </c>
      <c r="AN26" s="83">
        <v>-5143291.63</v>
      </c>
      <c r="AO26" s="85">
        <v>9146638.3900000006</v>
      </c>
      <c r="AP26" s="57"/>
      <c r="AQ26" s="62">
        <v>47</v>
      </c>
      <c r="AR26" s="86">
        <v>1835</v>
      </c>
      <c r="AS26" s="88" t="s">
        <v>131</v>
      </c>
      <c r="AT26" s="82">
        <v>14289930.020000001</v>
      </c>
      <c r="AU26" s="82">
        <v>759070</v>
      </c>
      <c r="AV26" s="82">
        <v>0</v>
      </c>
      <c r="AW26" s="83">
        <v>15049000.020000001</v>
      </c>
      <c r="AX26" s="84"/>
      <c r="AY26" s="82">
        <v>-5143291.63</v>
      </c>
      <c r="AZ26" s="82">
        <v>-273963.68372222228</v>
      </c>
      <c r="BA26" s="82">
        <v>0</v>
      </c>
      <c r="BB26" s="83">
        <v>-5417255.3137222221</v>
      </c>
      <c r="BC26" s="85">
        <v>9631744.7062777802</v>
      </c>
      <c r="BD26" s="57"/>
      <c r="BE26" s="62">
        <v>47</v>
      </c>
      <c r="BF26" s="86">
        <v>1835</v>
      </c>
      <c r="BG26" s="88" t="s">
        <v>131</v>
      </c>
      <c r="BH26" s="82">
        <v>15049000.020000001</v>
      </c>
      <c r="BI26" s="82">
        <v>538734</v>
      </c>
      <c r="BJ26" s="82">
        <v>0</v>
      </c>
      <c r="BK26" s="83">
        <v>15587734.020000001</v>
      </c>
      <c r="BL26" s="84"/>
      <c r="BM26" s="82">
        <v>-5417255.3137222221</v>
      </c>
      <c r="BN26" s="82">
        <v>-304107.60372222221</v>
      </c>
      <c r="BO26" s="82">
        <v>0</v>
      </c>
      <c r="BP26" s="83">
        <v>-5721362.9174444443</v>
      </c>
      <c r="BQ26" s="85">
        <v>9866371.1025555581</v>
      </c>
    </row>
    <row r="27" spans="1:69" x14ac:dyDescent="0.25">
      <c r="A27" s="62">
        <v>47</v>
      </c>
      <c r="B27" s="86">
        <v>1840</v>
      </c>
      <c r="C27" s="88" t="s">
        <v>132</v>
      </c>
      <c r="D27" s="82">
        <v>13858533.43</v>
      </c>
      <c r="E27" s="82">
        <v>341973.53</v>
      </c>
      <c r="F27" s="82">
        <v>0</v>
      </c>
      <c r="G27" s="83">
        <v>14200506.959999999</v>
      </c>
      <c r="H27" s="84"/>
      <c r="I27" s="82">
        <v>-5327722.43</v>
      </c>
      <c r="J27" s="82">
        <v>-239004.11</v>
      </c>
      <c r="K27" s="82">
        <v>0</v>
      </c>
      <c r="L27" s="83">
        <v>-5566726.54</v>
      </c>
      <c r="M27" s="85">
        <v>8633780.4199999981</v>
      </c>
      <c r="N27" s="57"/>
      <c r="O27" s="62">
        <v>47</v>
      </c>
      <c r="P27" s="86">
        <v>1840</v>
      </c>
      <c r="Q27" s="88" t="s">
        <v>132</v>
      </c>
      <c r="R27" s="82">
        <v>14200506.959999999</v>
      </c>
      <c r="S27" s="82">
        <v>158599.4</v>
      </c>
      <c r="T27" s="82">
        <v>0</v>
      </c>
      <c r="U27" s="83">
        <v>14359106.359999999</v>
      </c>
      <c r="V27" s="84"/>
      <c r="W27" s="82">
        <v>-5566726.54</v>
      </c>
      <c r="X27" s="82">
        <v>-240713.04</v>
      </c>
      <c r="Y27" s="82">
        <v>0</v>
      </c>
      <c r="Z27" s="83">
        <v>-5807439.5800000001</v>
      </c>
      <c r="AA27" s="85">
        <v>8551666.7799999993</v>
      </c>
      <c r="AB27" s="57"/>
      <c r="AC27" s="62">
        <v>47</v>
      </c>
      <c r="AD27" s="86">
        <v>1840</v>
      </c>
      <c r="AE27" s="88" t="s">
        <v>132</v>
      </c>
      <c r="AF27" s="82">
        <v>14359106.359999999</v>
      </c>
      <c r="AG27" s="82">
        <v>313801.08999999997</v>
      </c>
      <c r="AH27" s="82">
        <v>0</v>
      </c>
      <c r="AI27" s="83">
        <v>14672907.449999999</v>
      </c>
      <c r="AJ27" s="84"/>
      <c r="AK27" s="82">
        <v>-5807439.5800000001</v>
      </c>
      <c r="AL27" s="82">
        <v>-245319.66999999995</v>
      </c>
      <c r="AM27" s="82">
        <v>0</v>
      </c>
      <c r="AN27" s="83">
        <v>-6052759.25</v>
      </c>
      <c r="AO27" s="85">
        <v>8620148.1999999993</v>
      </c>
      <c r="AP27" s="57"/>
      <c r="AQ27" s="62">
        <v>47</v>
      </c>
      <c r="AR27" s="86">
        <v>1840</v>
      </c>
      <c r="AS27" s="88" t="s">
        <v>132</v>
      </c>
      <c r="AT27" s="82">
        <v>14672907.449999999</v>
      </c>
      <c r="AU27" s="82">
        <v>106388</v>
      </c>
      <c r="AV27" s="82">
        <v>0</v>
      </c>
      <c r="AW27" s="83">
        <v>14779295.449999999</v>
      </c>
      <c r="AX27" s="84"/>
      <c r="AY27" s="82">
        <v>-6052759.25</v>
      </c>
      <c r="AZ27" s="82">
        <v>-247919.52104545454</v>
      </c>
      <c r="BA27" s="82">
        <v>0</v>
      </c>
      <c r="BB27" s="83">
        <v>-6300678.7710454548</v>
      </c>
      <c r="BC27" s="85">
        <v>8478616.6789545454</v>
      </c>
      <c r="BD27" s="57"/>
      <c r="BE27" s="62">
        <v>47</v>
      </c>
      <c r="BF27" s="86">
        <v>1840</v>
      </c>
      <c r="BG27" s="88" t="s">
        <v>132</v>
      </c>
      <c r="BH27" s="82">
        <v>14779295.449999999</v>
      </c>
      <c r="BI27" s="82">
        <v>91220</v>
      </c>
      <c r="BJ27" s="82">
        <v>0</v>
      </c>
      <c r="BK27" s="83">
        <v>14870515.449999999</v>
      </c>
      <c r="BL27" s="84"/>
      <c r="BM27" s="82">
        <v>-6300678.7710454548</v>
      </c>
      <c r="BN27" s="82">
        <v>-242272.52104545454</v>
      </c>
      <c r="BO27" s="82">
        <v>0</v>
      </c>
      <c r="BP27" s="83">
        <v>-6542951.2920909096</v>
      </c>
      <c r="BQ27" s="85">
        <v>8327564.1579090897</v>
      </c>
    </row>
    <row r="28" spans="1:69" ht="25.5" x14ac:dyDescent="0.25">
      <c r="A28" s="62">
        <v>47</v>
      </c>
      <c r="B28" s="86">
        <v>1845</v>
      </c>
      <c r="C28" s="88" t="s">
        <v>133</v>
      </c>
      <c r="D28" s="82">
        <v>18959500.960000001</v>
      </c>
      <c r="E28" s="82">
        <v>852898.53999999992</v>
      </c>
      <c r="F28" s="82">
        <v>0</v>
      </c>
      <c r="G28" s="83">
        <v>19812399.5</v>
      </c>
      <c r="H28" s="84"/>
      <c r="I28" s="82">
        <v>-4867176.7300000004</v>
      </c>
      <c r="J28" s="82">
        <v>-647305.94000000006</v>
      </c>
      <c r="K28" s="82">
        <v>0</v>
      </c>
      <c r="L28" s="83">
        <v>-5514482.6700000009</v>
      </c>
      <c r="M28" s="85">
        <v>14297916.829999998</v>
      </c>
      <c r="N28" s="57"/>
      <c r="O28" s="62">
        <v>47</v>
      </c>
      <c r="P28" s="86">
        <v>1845</v>
      </c>
      <c r="Q28" s="88" t="s">
        <v>133</v>
      </c>
      <c r="R28" s="82">
        <v>19812399.5</v>
      </c>
      <c r="S28" s="82">
        <v>527324.19999999995</v>
      </c>
      <c r="T28" s="82">
        <v>0</v>
      </c>
      <c r="U28" s="83">
        <v>20339723.699999999</v>
      </c>
      <c r="V28" s="84"/>
      <c r="W28" s="82">
        <v>-5514482.6700000009</v>
      </c>
      <c r="X28" s="82">
        <v>-653017.43999999994</v>
      </c>
      <c r="Y28" s="82">
        <v>0</v>
      </c>
      <c r="Z28" s="83">
        <v>-6167500.1100000013</v>
      </c>
      <c r="AA28" s="85">
        <v>14172223.589999998</v>
      </c>
      <c r="AB28" s="57"/>
      <c r="AC28" s="62">
        <v>47</v>
      </c>
      <c r="AD28" s="86">
        <v>1845</v>
      </c>
      <c r="AE28" s="88" t="s">
        <v>133</v>
      </c>
      <c r="AF28" s="82">
        <v>20339723.699999999</v>
      </c>
      <c r="AG28" s="82">
        <v>520177.21</v>
      </c>
      <c r="AH28" s="82">
        <v>0</v>
      </c>
      <c r="AI28" s="83">
        <v>20859900.91</v>
      </c>
      <c r="AJ28" s="84"/>
      <c r="AK28" s="82">
        <v>-6167500.1100000013</v>
      </c>
      <c r="AL28" s="82">
        <v>-661407.10000000009</v>
      </c>
      <c r="AM28" s="82">
        <v>0</v>
      </c>
      <c r="AN28" s="83">
        <v>-6828907.2100000009</v>
      </c>
      <c r="AO28" s="85">
        <v>14030993.699999999</v>
      </c>
      <c r="AP28" s="57"/>
      <c r="AQ28" s="62">
        <v>47</v>
      </c>
      <c r="AR28" s="86">
        <v>1845</v>
      </c>
      <c r="AS28" s="88" t="s">
        <v>133</v>
      </c>
      <c r="AT28" s="82">
        <v>20859900.91</v>
      </c>
      <c r="AU28" s="82">
        <v>756107.5</v>
      </c>
      <c r="AV28" s="82">
        <v>0</v>
      </c>
      <c r="AW28" s="83">
        <v>21616008.41</v>
      </c>
      <c r="AX28" s="84"/>
      <c r="AY28" s="82">
        <v>-6828907.2100000009</v>
      </c>
      <c r="AZ28" s="82">
        <v>-674067.86757142865</v>
      </c>
      <c r="BA28" s="82">
        <v>0</v>
      </c>
      <c r="BB28" s="83">
        <v>-7502975.0775714293</v>
      </c>
      <c r="BC28" s="85">
        <v>14113033.332428571</v>
      </c>
      <c r="BD28" s="57"/>
      <c r="BE28" s="62">
        <v>47</v>
      </c>
      <c r="BF28" s="86">
        <v>1845</v>
      </c>
      <c r="BG28" s="88" t="s">
        <v>133</v>
      </c>
      <c r="BH28" s="82">
        <v>21616008.41</v>
      </c>
      <c r="BI28" s="82">
        <v>1205568</v>
      </c>
      <c r="BJ28" s="82">
        <v>0</v>
      </c>
      <c r="BK28" s="83">
        <v>22821576.41</v>
      </c>
      <c r="BL28" s="84"/>
      <c r="BM28" s="82">
        <v>-7502975.0775714293</v>
      </c>
      <c r="BN28" s="82">
        <v>-690988.38757142855</v>
      </c>
      <c r="BO28" s="82">
        <v>0</v>
      </c>
      <c r="BP28" s="83">
        <v>-8193963.4651428582</v>
      </c>
      <c r="BQ28" s="85">
        <v>14627612.944857143</v>
      </c>
    </row>
    <row r="29" spans="1:69" x14ac:dyDescent="0.25">
      <c r="A29" s="62">
        <v>47</v>
      </c>
      <c r="B29" s="86">
        <v>1850</v>
      </c>
      <c r="C29" s="88" t="s">
        <v>134</v>
      </c>
      <c r="D29" s="82">
        <v>17387581.640000001</v>
      </c>
      <c r="E29" s="82">
        <v>618408.09000000008</v>
      </c>
      <c r="F29" s="82">
        <v>0</v>
      </c>
      <c r="G29" s="83">
        <v>18005989.73</v>
      </c>
      <c r="H29" s="84"/>
      <c r="I29" s="82">
        <v>-6366779.5899999999</v>
      </c>
      <c r="J29" s="82">
        <v>-444685.14</v>
      </c>
      <c r="K29" s="82">
        <v>0</v>
      </c>
      <c r="L29" s="83">
        <v>-6811464.7299999995</v>
      </c>
      <c r="M29" s="85">
        <v>11194525</v>
      </c>
      <c r="N29" s="57"/>
      <c r="O29" s="62">
        <v>47</v>
      </c>
      <c r="P29" s="86">
        <v>1850</v>
      </c>
      <c r="Q29" s="88" t="s">
        <v>134</v>
      </c>
      <c r="R29" s="82">
        <v>18005989.73</v>
      </c>
      <c r="S29" s="82">
        <v>339251.24</v>
      </c>
      <c r="T29" s="82">
        <v>-23696.400000000001</v>
      </c>
      <c r="U29" s="83">
        <v>18321544.57</v>
      </c>
      <c r="V29" s="84"/>
      <c r="W29" s="82">
        <v>-6811464.7299999995</v>
      </c>
      <c r="X29" s="82">
        <v>-450450.17000000004</v>
      </c>
      <c r="Y29" s="82">
        <v>14138.34</v>
      </c>
      <c r="Z29" s="83">
        <v>-7247776.5599999996</v>
      </c>
      <c r="AA29" s="85">
        <v>11073768.010000002</v>
      </c>
      <c r="AB29" s="57"/>
      <c r="AC29" s="62">
        <v>47</v>
      </c>
      <c r="AD29" s="86">
        <v>1850</v>
      </c>
      <c r="AE29" s="88" t="s">
        <v>134</v>
      </c>
      <c r="AF29" s="82">
        <v>18321544.57</v>
      </c>
      <c r="AG29" s="82">
        <v>617301.61</v>
      </c>
      <c r="AH29" s="82">
        <v>-197018.49</v>
      </c>
      <c r="AI29" s="83">
        <v>18741827.690000001</v>
      </c>
      <c r="AJ29" s="84"/>
      <c r="AK29" s="82">
        <v>-7247776.5599999996</v>
      </c>
      <c r="AL29" s="82">
        <v>-477218.66</v>
      </c>
      <c r="AM29" s="82">
        <v>112710.20000000001</v>
      </c>
      <c r="AN29" s="83">
        <v>-7612285.0199999996</v>
      </c>
      <c r="AO29" s="85">
        <v>11129542.670000002</v>
      </c>
      <c r="AP29" s="57"/>
      <c r="AQ29" s="62">
        <v>47</v>
      </c>
      <c r="AR29" s="86">
        <v>1850</v>
      </c>
      <c r="AS29" s="88" t="s">
        <v>134</v>
      </c>
      <c r="AT29" s="82">
        <v>18741827.690000001</v>
      </c>
      <c r="AU29" s="82">
        <v>506660.54</v>
      </c>
      <c r="AV29" s="82">
        <v>-200000</v>
      </c>
      <c r="AW29" s="83">
        <v>19048488.23</v>
      </c>
      <c r="AX29" s="84"/>
      <c r="AY29" s="82">
        <v>-7612285.0199999996</v>
      </c>
      <c r="AZ29" s="82">
        <v>-490263.70015476196</v>
      </c>
      <c r="BA29" s="82">
        <v>110000</v>
      </c>
      <c r="BB29" s="83">
        <v>-7992548.7201547613</v>
      </c>
      <c r="BC29" s="85">
        <v>11055939.509845238</v>
      </c>
      <c r="BD29" s="57"/>
      <c r="BE29" s="62">
        <v>47</v>
      </c>
      <c r="BF29" s="86">
        <v>1850</v>
      </c>
      <c r="BG29" s="88" t="s">
        <v>134</v>
      </c>
      <c r="BH29" s="82">
        <v>19048488.23</v>
      </c>
      <c r="BI29" s="82">
        <v>498978</v>
      </c>
      <c r="BJ29" s="82">
        <v>-200000</v>
      </c>
      <c r="BK29" s="83">
        <v>19347466.23</v>
      </c>
      <c r="BL29" s="84"/>
      <c r="BM29" s="82">
        <v>-7992548.7201547613</v>
      </c>
      <c r="BN29" s="82">
        <v>-493162.52015476191</v>
      </c>
      <c r="BO29" s="82">
        <v>110000</v>
      </c>
      <c r="BP29" s="83">
        <v>-8375711.2403095234</v>
      </c>
      <c r="BQ29" s="85">
        <v>10971754.989690477</v>
      </c>
    </row>
    <row r="30" spans="1:69" ht="25.5" x14ac:dyDescent="0.25">
      <c r="A30" s="62">
        <v>47</v>
      </c>
      <c r="B30" s="86">
        <v>1855</v>
      </c>
      <c r="C30" s="88" t="s">
        <v>135</v>
      </c>
      <c r="D30" s="82">
        <v>1563784.77</v>
      </c>
      <c r="E30" s="82">
        <v>151079.91999999998</v>
      </c>
      <c r="F30" s="82">
        <v>0</v>
      </c>
      <c r="G30" s="83">
        <v>1714864.69</v>
      </c>
      <c r="H30" s="84"/>
      <c r="I30" s="82">
        <v>-270745.76999999996</v>
      </c>
      <c r="J30" s="82">
        <v>-65572</v>
      </c>
      <c r="K30" s="82">
        <v>0</v>
      </c>
      <c r="L30" s="83">
        <v>-336317.76999999996</v>
      </c>
      <c r="M30" s="85">
        <v>1378546.92</v>
      </c>
      <c r="N30" s="57"/>
      <c r="O30" s="62">
        <v>47</v>
      </c>
      <c r="P30" s="86">
        <v>1855</v>
      </c>
      <c r="Q30" s="88" t="s">
        <v>135</v>
      </c>
      <c r="R30" s="82">
        <v>1714864.69</v>
      </c>
      <c r="S30" s="82">
        <v>136645.97000000003</v>
      </c>
      <c r="T30" s="82">
        <v>0</v>
      </c>
      <c r="U30" s="83">
        <v>1851510.66</v>
      </c>
      <c r="V30" s="84"/>
      <c r="W30" s="82">
        <v>-336317.76999999996</v>
      </c>
      <c r="X30" s="82">
        <v>-71164.540000000023</v>
      </c>
      <c r="Y30" s="82">
        <v>0</v>
      </c>
      <c r="Z30" s="83">
        <v>-407482.31</v>
      </c>
      <c r="AA30" s="85">
        <v>1444028.3499999999</v>
      </c>
      <c r="AB30" s="57"/>
      <c r="AC30" s="62">
        <v>47</v>
      </c>
      <c r="AD30" s="86">
        <v>1855</v>
      </c>
      <c r="AE30" s="88" t="s">
        <v>135</v>
      </c>
      <c r="AF30" s="82">
        <v>1851510.66</v>
      </c>
      <c r="AG30" s="82">
        <v>181699.23</v>
      </c>
      <c r="AH30" s="82">
        <v>0</v>
      </c>
      <c r="AI30" s="83">
        <v>2033209.89</v>
      </c>
      <c r="AJ30" s="84"/>
      <c r="AK30" s="82">
        <v>-407482.31</v>
      </c>
      <c r="AL30" s="82">
        <v>-77531.429999999993</v>
      </c>
      <c r="AM30" s="82">
        <v>0</v>
      </c>
      <c r="AN30" s="83">
        <v>-485013.74</v>
      </c>
      <c r="AO30" s="85">
        <v>1548196.15</v>
      </c>
      <c r="AP30" s="57"/>
      <c r="AQ30" s="62">
        <v>47</v>
      </c>
      <c r="AR30" s="86">
        <v>1855</v>
      </c>
      <c r="AS30" s="88" t="s">
        <v>135</v>
      </c>
      <c r="AT30" s="82">
        <v>2033209.89</v>
      </c>
      <c r="AU30" s="82">
        <v>181777</v>
      </c>
      <c r="AV30" s="82">
        <v>0</v>
      </c>
      <c r="AW30" s="83">
        <v>2214986.8899999997</v>
      </c>
      <c r="AX30" s="84"/>
      <c r="AY30" s="82">
        <v>-485013.74</v>
      </c>
      <c r="AZ30" s="82">
        <v>-85088.969200000007</v>
      </c>
      <c r="BA30" s="82">
        <v>0</v>
      </c>
      <c r="BB30" s="83">
        <v>-570102.70920000004</v>
      </c>
      <c r="BC30" s="85">
        <v>1644884.1807999997</v>
      </c>
      <c r="BD30" s="57"/>
      <c r="BE30" s="62">
        <v>47</v>
      </c>
      <c r="BF30" s="86">
        <v>1855</v>
      </c>
      <c r="BG30" s="88" t="s">
        <v>135</v>
      </c>
      <c r="BH30" s="82">
        <v>2214986.8899999997</v>
      </c>
      <c r="BI30" s="82">
        <v>267585</v>
      </c>
      <c r="BJ30" s="82">
        <v>0</v>
      </c>
      <c r="BK30" s="83">
        <v>2482571.8899999997</v>
      </c>
      <c r="BL30" s="84"/>
      <c r="BM30" s="82">
        <v>-570102.70920000004</v>
      </c>
      <c r="BN30" s="82">
        <v>-94075.969200000007</v>
      </c>
      <c r="BO30" s="82">
        <v>0</v>
      </c>
      <c r="BP30" s="83">
        <v>-664178.67840000009</v>
      </c>
      <c r="BQ30" s="85">
        <v>1818393.2115999996</v>
      </c>
    </row>
    <row r="31" spans="1:69" x14ac:dyDescent="0.25">
      <c r="A31" s="62">
        <v>47</v>
      </c>
      <c r="B31" s="86">
        <v>1860</v>
      </c>
      <c r="C31" s="88" t="s">
        <v>136</v>
      </c>
      <c r="D31" s="82">
        <v>4115921.05</v>
      </c>
      <c r="E31" s="82">
        <v>125706.78</v>
      </c>
      <c r="F31" s="82">
        <v>0</v>
      </c>
      <c r="G31" s="83">
        <v>4241627.83</v>
      </c>
      <c r="H31" s="84"/>
      <c r="I31" s="82">
        <v>-1074298.99</v>
      </c>
      <c r="J31" s="82">
        <v>-299305.82</v>
      </c>
      <c r="K31" s="82">
        <v>0</v>
      </c>
      <c r="L31" s="83">
        <v>-1373604.81</v>
      </c>
      <c r="M31" s="85">
        <v>2868023.02</v>
      </c>
      <c r="N31" s="57"/>
      <c r="O31" s="62">
        <v>47</v>
      </c>
      <c r="P31" s="86">
        <v>1860</v>
      </c>
      <c r="Q31" s="88" t="s">
        <v>136</v>
      </c>
      <c r="R31" s="82">
        <v>4241627.83</v>
      </c>
      <c r="S31" s="82">
        <v>118426.12999999999</v>
      </c>
      <c r="T31" s="82">
        <v>0</v>
      </c>
      <c r="U31" s="83">
        <v>4360053.96</v>
      </c>
      <c r="V31" s="84"/>
      <c r="W31" s="82">
        <v>-1373604.81</v>
      </c>
      <c r="X31" s="82">
        <v>-286895.79000000004</v>
      </c>
      <c r="Y31" s="82">
        <v>0</v>
      </c>
      <c r="Z31" s="83">
        <v>-1660500.6</v>
      </c>
      <c r="AA31" s="85">
        <v>2699553.36</v>
      </c>
      <c r="AB31" s="57"/>
      <c r="AC31" s="62">
        <v>47</v>
      </c>
      <c r="AD31" s="86">
        <v>1860</v>
      </c>
      <c r="AE31" s="88" t="s">
        <v>136</v>
      </c>
      <c r="AF31" s="82">
        <v>4360053.96</v>
      </c>
      <c r="AG31" s="82">
        <v>136566.29999999999</v>
      </c>
      <c r="AH31" s="82">
        <v>0</v>
      </c>
      <c r="AI31" s="83">
        <v>4496620.26</v>
      </c>
      <c r="AJ31" s="84"/>
      <c r="AK31" s="82">
        <v>-1660500.6</v>
      </c>
      <c r="AL31" s="82">
        <v>-243712.01</v>
      </c>
      <c r="AM31" s="82">
        <v>0</v>
      </c>
      <c r="AN31" s="83">
        <v>-1904212.61</v>
      </c>
      <c r="AO31" s="85">
        <v>2592407.6499999994</v>
      </c>
      <c r="AP31" s="57"/>
      <c r="AQ31" s="62">
        <v>47</v>
      </c>
      <c r="AR31" s="86">
        <v>1860</v>
      </c>
      <c r="AS31" s="88" t="s">
        <v>136</v>
      </c>
      <c r="AT31" s="82">
        <v>4496620.26</v>
      </c>
      <c r="AU31" s="82">
        <v>89626</v>
      </c>
      <c r="AV31" s="82">
        <v>0</v>
      </c>
      <c r="AW31" s="83">
        <v>4586246.26</v>
      </c>
      <c r="AX31" s="84"/>
      <c r="AY31" s="82">
        <v>-1904212.61</v>
      </c>
      <c r="AZ31" s="82">
        <v>-239530.76693333336</v>
      </c>
      <c r="BA31" s="82">
        <v>0</v>
      </c>
      <c r="BB31" s="83">
        <v>-2143743.3769333335</v>
      </c>
      <c r="BC31" s="85">
        <v>2442502.8830666663</v>
      </c>
      <c r="BD31" s="57"/>
      <c r="BE31" s="62">
        <v>47</v>
      </c>
      <c r="BF31" s="86">
        <v>1860</v>
      </c>
      <c r="BG31" s="88" t="s">
        <v>136</v>
      </c>
      <c r="BH31" s="82">
        <v>4586246.26</v>
      </c>
      <c r="BI31" s="82">
        <v>90508</v>
      </c>
      <c r="BJ31" s="82">
        <v>0</v>
      </c>
      <c r="BK31" s="83">
        <v>4676754.26</v>
      </c>
      <c r="BL31" s="84"/>
      <c r="BM31" s="82">
        <v>-2143743.3769333335</v>
      </c>
      <c r="BN31" s="82">
        <v>-237565.76693333336</v>
      </c>
      <c r="BO31" s="82">
        <v>0</v>
      </c>
      <c r="BP31" s="83">
        <v>-2381309.1438666666</v>
      </c>
      <c r="BQ31" s="85">
        <v>2295445.1161333332</v>
      </c>
    </row>
    <row r="32" spans="1:69" x14ac:dyDescent="0.25">
      <c r="A32" s="62">
        <v>47</v>
      </c>
      <c r="B32" s="86">
        <v>1860</v>
      </c>
      <c r="C32" s="87" t="s">
        <v>137</v>
      </c>
      <c r="D32" s="82">
        <v>0</v>
      </c>
      <c r="E32" s="82">
        <v>0</v>
      </c>
      <c r="F32" s="82">
        <v>0</v>
      </c>
      <c r="G32" s="83">
        <v>0</v>
      </c>
      <c r="H32" s="84"/>
      <c r="I32" s="82">
        <v>0</v>
      </c>
      <c r="J32" s="82">
        <v>0</v>
      </c>
      <c r="K32" s="82">
        <v>0</v>
      </c>
      <c r="L32" s="83">
        <v>0</v>
      </c>
      <c r="M32" s="85">
        <v>0</v>
      </c>
      <c r="N32" s="57"/>
      <c r="O32" s="62">
        <v>47</v>
      </c>
      <c r="P32" s="86">
        <v>1860</v>
      </c>
      <c r="Q32" s="87" t="s">
        <v>137</v>
      </c>
      <c r="R32" s="82">
        <v>5371776</v>
      </c>
      <c r="S32" s="82">
        <v>0</v>
      </c>
      <c r="T32" s="82">
        <v>0</v>
      </c>
      <c r="U32" s="83">
        <v>5371776</v>
      </c>
      <c r="V32" s="84"/>
      <c r="W32" s="82">
        <v>-1368571.63</v>
      </c>
      <c r="X32" s="82">
        <v>-375872.41999999993</v>
      </c>
      <c r="Y32" s="82">
        <v>0</v>
      </c>
      <c r="Z32" s="83">
        <v>-1744444.0499999998</v>
      </c>
      <c r="AA32" s="85">
        <v>3627331.95</v>
      </c>
      <c r="AB32" s="57"/>
      <c r="AC32" s="62">
        <v>47</v>
      </c>
      <c r="AD32" s="86">
        <v>1860</v>
      </c>
      <c r="AE32" s="87" t="s">
        <v>137</v>
      </c>
      <c r="AF32" s="82">
        <v>5371776</v>
      </c>
      <c r="AG32" s="82">
        <v>0</v>
      </c>
      <c r="AH32" s="82">
        <v>0</v>
      </c>
      <c r="AI32" s="83">
        <v>5371776</v>
      </c>
      <c r="AJ32" s="84"/>
      <c r="AK32" s="82">
        <v>-1744444.0499999998</v>
      </c>
      <c r="AL32" s="82">
        <v>-371261.4</v>
      </c>
      <c r="AM32" s="82">
        <v>0</v>
      </c>
      <c r="AN32" s="83">
        <v>-2115705.4499999997</v>
      </c>
      <c r="AO32" s="85">
        <v>3256070.5500000003</v>
      </c>
      <c r="AP32" s="57"/>
      <c r="AQ32" s="62">
        <v>47</v>
      </c>
      <c r="AR32" s="86">
        <v>1860</v>
      </c>
      <c r="AS32" s="87" t="s">
        <v>137</v>
      </c>
      <c r="AT32" s="82">
        <v>5371776</v>
      </c>
      <c r="AU32" s="82">
        <v>0</v>
      </c>
      <c r="AV32" s="82">
        <v>0</v>
      </c>
      <c r="AW32" s="83">
        <v>5371776</v>
      </c>
      <c r="AX32" s="84"/>
      <c r="AY32" s="82">
        <v>-2115705.4499999997</v>
      </c>
      <c r="AZ32" s="82">
        <v>-371730</v>
      </c>
      <c r="BA32" s="82">
        <v>0</v>
      </c>
      <c r="BB32" s="83">
        <v>-2487435.4499999997</v>
      </c>
      <c r="BC32" s="85">
        <v>2884340.5500000003</v>
      </c>
      <c r="BD32" s="57"/>
      <c r="BE32" s="62">
        <v>47</v>
      </c>
      <c r="BF32" s="86">
        <v>1860</v>
      </c>
      <c r="BG32" s="87" t="s">
        <v>137</v>
      </c>
      <c r="BH32" s="82">
        <v>5371776</v>
      </c>
      <c r="BI32" s="82">
        <v>0</v>
      </c>
      <c r="BJ32" s="82">
        <v>0</v>
      </c>
      <c r="BK32" s="83">
        <v>5371776</v>
      </c>
      <c r="BL32" s="84"/>
      <c r="BM32" s="82">
        <v>-2487435.4499999997</v>
      </c>
      <c r="BN32" s="82">
        <v>-371730</v>
      </c>
      <c r="BO32" s="82">
        <v>0</v>
      </c>
      <c r="BP32" s="83">
        <v>-2859165.4499999997</v>
      </c>
      <c r="BQ32" s="85">
        <v>2512610.5500000003</v>
      </c>
    </row>
    <row r="33" spans="1:69" x14ac:dyDescent="0.25">
      <c r="A33" s="62" t="s">
        <v>123</v>
      </c>
      <c r="B33" s="86">
        <v>1905</v>
      </c>
      <c r="C33" s="87" t="s">
        <v>124</v>
      </c>
      <c r="D33" s="82">
        <v>0</v>
      </c>
      <c r="E33" s="82">
        <v>0</v>
      </c>
      <c r="F33" s="82">
        <v>0</v>
      </c>
      <c r="G33" s="83">
        <v>0</v>
      </c>
      <c r="H33" s="84"/>
      <c r="I33" s="82">
        <v>0</v>
      </c>
      <c r="J33" s="82">
        <v>0</v>
      </c>
      <c r="K33" s="82">
        <v>0</v>
      </c>
      <c r="L33" s="83">
        <v>0</v>
      </c>
      <c r="M33" s="85">
        <v>0</v>
      </c>
      <c r="N33" s="57"/>
      <c r="O33" s="62" t="s">
        <v>123</v>
      </c>
      <c r="P33" s="86">
        <v>1905</v>
      </c>
      <c r="Q33" s="87" t="s">
        <v>124</v>
      </c>
      <c r="R33" s="82">
        <v>0</v>
      </c>
      <c r="S33" s="82">
        <v>0</v>
      </c>
      <c r="T33" s="82">
        <v>0</v>
      </c>
      <c r="U33" s="83">
        <v>0</v>
      </c>
      <c r="V33" s="84"/>
      <c r="W33" s="82">
        <v>0</v>
      </c>
      <c r="X33" s="82">
        <v>0</v>
      </c>
      <c r="Y33" s="82">
        <v>0</v>
      </c>
      <c r="Z33" s="83">
        <v>0</v>
      </c>
      <c r="AA33" s="85">
        <v>0</v>
      </c>
      <c r="AB33" s="57"/>
      <c r="AC33" s="62" t="s">
        <v>123</v>
      </c>
      <c r="AD33" s="86">
        <v>1905</v>
      </c>
      <c r="AE33" s="87" t="s">
        <v>124</v>
      </c>
      <c r="AF33" s="82">
        <v>0</v>
      </c>
      <c r="AG33" s="82">
        <v>0</v>
      </c>
      <c r="AH33" s="82">
        <v>0</v>
      </c>
      <c r="AI33" s="83">
        <v>0</v>
      </c>
      <c r="AJ33" s="84"/>
      <c r="AK33" s="82">
        <v>0</v>
      </c>
      <c r="AL33" s="82">
        <v>0</v>
      </c>
      <c r="AM33" s="82">
        <v>0</v>
      </c>
      <c r="AN33" s="83">
        <v>0</v>
      </c>
      <c r="AO33" s="85">
        <v>0</v>
      </c>
      <c r="AP33" s="57"/>
      <c r="AQ33" s="62" t="s">
        <v>123</v>
      </c>
      <c r="AR33" s="86">
        <v>1905</v>
      </c>
      <c r="AS33" s="87" t="s">
        <v>124</v>
      </c>
      <c r="AT33" s="82">
        <v>0</v>
      </c>
      <c r="AU33" s="82">
        <v>0</v>
      </c>
      <c r="AV33" s="82">
        <v>0</v>
      </c>
      <c r="AW33" s="83">
        <v>0</v>
      </c>
      <c r="AX33" s="84"/>
      <c r="AY33" s="82">
        <v>0</v>
      </c>
      <c r="AZ33" s="82">
        <v>0</v>
      </c>
      <c r="BA33" s="82">
        <v>0</v>
      </c>
      <c r="BB33" s="83">
        <v>0</v>
      </c>
      <c r="BC33" s="85">
        <v>0</v>
      </c>
      <c r="BD33" s="57"/>
      <c r="BE33" s="62" t="s">
        <v>123</v>
      </c>
      <c r="BF33" s="86">
        <v>1905</v>
      </c>
      <c r="BG33" s="87" t="s">
        <v>124</v>
      </c>
      <c r="BH33" s="82">
        <v>0</v>
      </c>
      <c r="BI33" s="82">
        <v>0</v>
      </c>
      <c r="BJ33" s="82">
        <v>0</v>
      </c>
      <c r="BK33" s="83">
        <v>0</v>
      </c>
      <c r="BL33" s="84"/>
      <c r="BM33" s="82">
        <v>0</v>
      </c>
      <c r="BN33" s="82">
        <v>0</v>
      </c>
      <c r="BO33" s="82">
        <v>0</v>
      </c>
      <c r="BP33" s="83">
        <v>0</v>
      </c>
      <c r="BQ33" s="85">
        <v>0</v>
      </c>
    </row>
    <row r="34" spans="1:69" x14ac:dyDescent="0.25">
      <c r="A34" s="62">
        <v>47</v>
      </c>
      <c r="B34" s="86">
        <v>1908</v>
      </c>
      <c r="C34" s="88" t="s">
        <v>138</v>
      </c>
      <c r="D34" s="82">
        <v>0</v>
      </c>
      <c r="E34" s="82">
        <v>0</v>
      </c>
      <c r="F34" s="82">
        <v>0</v>
      </c>
      <c r="G34" s="83">
        <v>0</v>
      </c>
      <c r="H34" s="84"/>
      <c r="I34" s="82">
        <v>0</v>
      </c>
      <c r="J34" s="82">
        <v>0</v>
      </c>
      <c r="K34" s="82">
        <v>0</v>
      </c>
      <c r="L34" s="83">
        <v>0</v>
      </c>
      <c r="M34" s="85">
        <v>0</v>
      </c>
      <c r="N34" s="57"/>
      <c r="O34" s="62">
        <v>47</v>
      </c>
      <c r="P34" s="86">
        <v>1908</v>
      </c>
      <c r="Q34" s="88" t="s">
        <v>138</v>
      </c>
      <c r="R34" s="82">
        <v>0</v>
      </c>
      <c r="S34" s="82">
        <v>0</v>
      </c>
      <c r="T34" s="82">
        <v>0</v>
      </c>
      <c r="U34" s="83">
        <v>0</v>
      </c>
      <c r="V34" s="84"/>
      <c r="W34" s="82">
        <v>0</v>
      </c>
      <c r="X34" s="82">
        <v>0</v>
      </c>
      <c r="Y34" s="82">
        <v>0</v>
      </c>
      <c r="Z34" s="83">
        <v>0</v>
      </c>
      <c r="AA34" s="85">
        <v>0</v>
      </c>
      <c r="AB34" s="57"/>
      <c r="AC34" s="62">
        <v>47</v>
      </c>
      <c r="AD34" s="86">
        <v>1908</v>
      </c>
      <c r="AE34" s="88" t="s">
        <v>138</v>
      </c>
      <c r="AF34" s="82">
        <v>0</v>
      </c>
      <c r="AG34" s="82">
        <v>0</v>
      </c>
      <c r="AH34" s="82">
        <v>0</v>
      </c>
      <c r="AI34" s="83">
        <v>0</v>
      </c>
      <c r="AJ34" s="84"/>
      <c r="AK34" s="82">
        <v>0</v>
      </c>
      <c r="AL34" s="82">
        <v>0</v>
      </c>
      <c r="AM34" s="82">
        <v>0</v>
      </c>
      <c r="AN34" s="83">
        <v>0</v>
      </c>
      <c r="AO34" s="85">
        <v>0</v>
      </c>
      <c r="AP34" s="57"/>
      <c r="AQ34" s="62">
        <v>47</v>
      </c>
      <c r="AR34" s="86">
        <v>1908</v>
      </c>
      <c r="AS34" s="88" t="s">
        <v>138</v>
      </c>
      <c r="AT34" s="82">
        <v>0</v>
      </c>
      <c r="AU34" s="82">
        <v>0</v>
      </c>
      <c r="AV34" s="82">
        <v>0</v>
      </c>
      <c r="AW34" s="83">
        <v>0</v>
      </c>
      <c r="AX34" s="84"/>
      <c r="AY34" s="82">
        <v>0</v>
      </c>
      <c r="AZ34" s="82">
        <v>0</v>
      </c>
      <c r="BA34" s="82">
        <v>0</v>
      </c>
      <c r="BB34" s="83">
        <v>0</v>
      </c>
      <c r="BC34" s="85">
        <v>0</v>
      </c>
      <c r="BD34" s="57"/>
      <c r="BE34" s="62">
        <v>47</v>
      </c>
      <c r="BF34" s="86">
        <v>1908</v>
      </c>
      <c r="BG34" s="88" t="s">
        <v>138</v>
      </c>
      <c r="BH34" s="82">
        <v>0</v>
      </c>
      <c r="BI34" s="82">
        <v>0</v>
      </c>
      <c r="BJ34" s="82">
        <v>0</v>
      </c>
      <c r="BK34" s="83">
        <v>0</v>
      </c>
      <c r="BL34" s="84"/>
      <c r="BM34" s="82">
        <v>0</v>
      </c>
      <c r="BN34" s="82">
        <v>0</v>
      </c>
      <c r="BO34" s="82">
        <v>0</v>
      </c>
      <c r="BP34" s="83">
        <v>0</v>
      </c>
      <c r="BQ34" s="85">
        <v>0</v>
      </c>
    </row>
    <row r="35" spans="1:69" ht="25.5" x14ac:dyDescent="0.25">
      <c r="A35" s="62">
        <v>13</v>
      </c>
      <c r="B35" s="86">
        <v>1910</v>
      </c>
      <c r="C35" s="88" t="s">
        <v>126</v>
      </c>
      <c r="D35" s="82">
        <v>0</v>
      </c>
      <c r="E35" s="82">
        <v>25560.879999999997</v>
      </c>
      <c r="F35" s="82">
        <v>0</v>
      </c>
      <c r="G35" s="83">
        <v>25560.879999999997</v>
      </c>
      <c r="H35" s="84"/>
      <c r="I35" s="82">
        <v>0</v>
      </c>
      <c r="J35" s="82">
        <v>-2556</v>
      </c>
      <c r="K35" s="82">
        <v>0</v>
      </c>
      <c r="L35" s="83">
        <v>-2556</v>
      </c>
      <c r="M35" s="85">
        <v>23004.879999999997</v>
      </c>
      <c r="N35" s="57"/>
      <c r="O35" s="62">
        <v>13</v>
      </c>
      <c r="P35" s="86">
        <v>1910</v>
      </c>
      <c r="Q35" s="88" t="s">
        <v>126</v>
      </c>
      <c r="R35" s="82">
        <v>25560.879999999997</v>
      </c>
      <c r="S35" s="82">
        <v>13573.07</v>
      </c>
      <c r="T35" s="82">
        <v>0</v>
      </c>
      <c r="U35" s="83">
        <v>39133.949999999997</v>
      </c>
      <c r="V35" s="84"/>
      <c r="W35" s="82">
        <v>-2556</v>
      </c>
      <c r="X35" s="82">
        <v>-9930.4700000000012</v>
      </c>
      <c r="Y35" s="82">
        <v>0</v>
      </c>
      <c r="Z35" s="83">
        <v>-12486.470000000001</v>
      </c>
      <c r="AA35" s="85">
        <v>26647.479999999996</v>
      </c>
      <c r="AB35" s="57"/>
      <c r="AC35" s="62">
        <v>13</v>
      </c>
      <c r="AD35" s="86">
        <v>1910</v>
      </c>
      <c r="AE35" s="88" t="s">
        <v>126</v>
      </c>
      <c r="AF35" s="82">
        <v>39133.949999999997</v>
      </c>
      <c r="AG35" s="82">
        <v>12050</v>
      </c>
      <c r="AH35" s="82">
        <v>0</v>
      </c>
      <c r="AI35" s="83">
        <v>51183.95</v>
      </c>
      <c r="AJ35" s="84"/>
      <c r="AK35" s="82">
        <v>-12486.470000000001</v>
      </c>
      <c r="AL35" s="82">
        <v>-14200.98</v>
      </c>
      <c r="AM35" s="82">
        <v>0</v>
      </c>
      <c r="AN35" s="83">
        <v>-26687.45</v>
      </c>
      <c r="AO35" s="85">
        <v>24496.499999999996</v>
      </c>
      <c r="AP35" s="57"/>
      <c r="AQ35" s="62">
        <v>13</v>
      </c>
      <c r="AR35" s="86">
        <v>1910</v>
      </c>
      <c r="AS35" s="88" t="s">
        <v>126</v>
      </c>
      <c r="AT35" s="82">
        <v>51183.95</v>
      </c>
      <c r="AU35" s="82">
        <v>0</v>
      </c>
      <c r="AV35" s="82">
        <v>0</v>
      </c>
      <c r="AW35" s="83">
        <v>51183.95</v>
      </c>
      <c r="AX35" s="84"/>
      <c r="AY35" s="82">
        <v>-26687.45</v>
      </c>
      <c r="AZ35" s="82">
        <v>-16209.666666666666</v>
      </c>
      <c r="BA35" s="82">
        <v>0</v>
      </c>
      <c r="BB35" s="83">
        <v>-42897.116666666669</v>
      </c>
      <c r="BC35" s="85">
        <v>8286.8333333333285</v>
      </c>
      <c r="BD35" s="57"/>
      <c r="BE35" s="62">
        <v>13</v>
      </c>
      <c r="BF35" s="86">
        <v>1910</v>
      </c>
      <c r="BG35" s="88" t="s">
        <v>126</v>
      </c>
      <c r="BH35" s="82">
        <v>51183.95</v>
      </c>
      <c r="BI35" s="82">
        <v>0</v>
      </c>
      <c r="BJ35" s="82">
        <v>0</v>
      </c>
      <c r="BK35" s="83">
        <v>51183.95</v>
      </c>
      <c r="BL35" s="84"/>
      <c r="BM35" s="82">
        <v>-42897.116666666669</v>
      </c>
      <c r="BN35" s="82">
        <v>-6278.6666666666661</v>
      </c>
      <c r="BO35" s="82">
        <v>0</v>
      </c>
      <c r="BP35" s="83">
        <v>-49175.783333333333</v>
      </c>
      <c r="BQ35" s="85">
        <v>2008.1666666666642</v>
      </c>
    </row>
    <row r="36" spans="1:69" ht="25.5" x14ac:dyDescent="0.25">
      <c r="A36" s="62">
        <v>8</v>
      </c>
      <c r="B36" s="86">
        <v>1915</v>
      </c>
      <c r="C36" s="88" t="s">
        <v>139</v>
      </c>
      <c r="D36" s="82">
        <v>3113</v>
      </c>
      <c r="E36" s="82">
        <v>4236.79</v>
      </c>
      <c r="F36" s="82">
        <v>0</v>
      </c>
      <c r="G36" s="83">
        <v>7349.79</v>
      </c>
      <c r="H36" s="84"/>
      <c r="I36" s="82">
        <v>-314</v>
      </c>
      <c r="J36" s="82">
        <v>-523</v>
      </c>
      <c r="K36" s="82">
        <v>0</v>
      </c>
      <c r="L36" s="83">
        <v>-837</v>
      </c>
      <c r="M36" s="85">
        <v>6512.79</v>
      </c>
      <c r="N36" s="57"/>
      <c r="O36" s="62">
        <v>8</v>
      </c>
      <c r="P36" s="86">
        <v>1915</v>
      </c>
      <c r="Q36" s="88" t="s">
        <v>139</v>
      </c>
      <c r="R36" s="82">
        <v>7349.79</v>
      </c>
      <c r="S36" s="82">
        <v>12573.46</v>
      </c>
      <c r="T36" s="82">
        <v>0</v>
      </c>
      <c r="U36" s="83">
        <v>19923.25</v>
      </c>
      <c r="V36" s="84"/>
      <c r="W36" s="82">
        <v>-837</v>
      </c>
      <c r="X36" s="82">
        <v>-1430.7600000000002</v>
      </c>
      <c r="Y36" s="82">
        <v>0</v>
      </c>
      <c r="Z36" s="83">
        <v>-2267.7600000000002</v>
      </c>
      <c r="AA36" s="85">
        <v>17655.489999999998</v>
      </c>
      <c r="AB36" s="57"/>
      <c r="AC36" s="62">
        <v>8</v>
      </c>
      <c r="AD36" s="86">
        <v>1915</v>
      </c>
      <c r="AE36" s="88" t="s">
        <v>139</v>
      </c>
      <c r="AF36" s="82">
        <v>19923.25</v>
      </c>
      <c r="AG36" s="82">
        <v>6733.42</v>
      </c>
      <c r="AH36" s="82">
        <v>0</v>
      </c>
      <c r="AI36" s="83">
        <v>26656.67</v>
      </c>
      <c r="AJ36" s="84"/>
      <c r="AK36" s="82">
        <v>-2267.7600000000002</v>
      </c>
      <c r="AL36" s="82">
        <v>-2396.11</v>
      </c>
      <c r="AM36" s="82">
        <v>0</v>
      </c>
      <c r="AN36" s="83">
        <v>-4663.8700000000008</v>
      </c>
      <c r="AO36" s="85">
        <v>21992.799999999996</v>
      </c>
      <c r="AP36" s="57"/>
      <c r="AQ36" s="62">
        <v>8</v>
      </c>
      <c r="AR36" s="86">
        <v>1915</v>
      </c>
      <c r="AS36" s="88" t="s">
        <v>139</v>
      </c>
      <c r="AT36" s="82">
        <v>26656.67</v>
      </c>
      <c r="AU36" s="82">
        <v>4800</v>
      </c>
      <c r="AV36" s="82">
        <v>0</v>
      </c>
      <c r="AW36" s="83">
        <v>31456.67</v>
      </c>
      <c r="AX36" s="84"/>
      <c r="AY36" s="82">
        <v>-4663.8700000000008</v>
      </c>
      <c r="AZ36" s="82">
        <v>-2929.3420000000001</v>
      </c>
      <c r="BA36" s="82">
        <v>0</v>
      </c>
      <c r="BB36" s="83">
        <v>-7593.2120000000014</v>
      </c>
      <c r="BC36" s="85">
        <v>23863.457999999999</v>
      </c>
      <c r="BD36" s="57"/>
      <c r="BE36" s="62">
        <v>8</v>
      </c>
      <c r="BF36" s="86">
        <v>1915</v>
      </c>
      <c r="BG36" s="88" t="s">
        <v>139</v>
      </c>
      <c r="BH36" s="82">
        <v>31456.67</v>
      </c>
      <c r="BI36" s="82">
        <v>0</v>
      </c>
      <c r="BJ36" s="82">
        <v>0</v>
      </c>
      <c r="BK36" s="83">
        <v>31456.67</v>
      </c>
      <c r="BL36" s="84"/>
      <c r="BM36" s="82">
        <v>-7593.2120000000014</v>
      </c>
      <c r="BN36" s="82">
        <v>-3169.3420000000001</v>
      </c>
      <c r="BO36" s="82">
        <v>0</v>
      </c>
      <c r="BP36" s="83">
        <v>-10762.554000000002</v>
      </c>
      <c r="BQ36" s="85">
        <v>20694.115999999995</v>
      </c>
    </row>
    <row r="37" spans="1:69" ht="25.5" x14ac:dyDescent="0.25">
      <c r="A37" s="62">
        <v>8</v>
      </c>
      <c r="B37" s="86">
        <v>1915</v>
      </c>
      <c r="C37" s="88" t="s">
        <v>140</v>
      </c>
      <c r="D37" s="82">
        <v>0</v>
      </c>
      <c r="E37" s="82">
        <v>0</v>
      </c>
      <c r="F37" s="82">
        <v>0</v>
      </c>
      <c r="G37" s="83">
        <v>0</v>
      </c>
      <c r="H37" s="84"/>
      <c r="I37" s="82">
        <v>0</v>
      </c>
      <c r="J37" s="82">
        <v>0</v>
      </c>
      <c r="K37" s="82">
        <v>0</v>
      </c>
      <c r="L37" s="83">
        <v>0</v>
      </c>
      <c r="M37" s="85">
        <v>0</v>
      </c>
      <c r="N37" s="57"/>
      <c r="O37" s="62">
        <v>8</v>
      </c>
      <c r="P37" s="86">
        <v>1915</v>
      </c>
      <c r="Q37" s="88" t="s">
        <v>140</v>
      </c>
      <c r="R37" s="82">
        <v>0</v>
      </c>
      <c r="S37" s="82">
        <v>0</v>
      </c>
      <c r="T37" s="82">
        <v>0</v>
      </c>
      <c r="U37" s="83">
        <v>0</v>
      </c>
      <c r="V37" s="84"/>
      <c r="W37" s="82">
        <v>0</v>
      </c>
      <c r="X37" s="82">
        <v>0</v>
      </c>
      <c r="Y37" s="82">
        <v>0</v>
      </c>
      <c r="Z37" s="83">
        <v>0</v>
      </c>
      <c r="AA37" s="85">
        <v>0</v>
      </c>
      <c r="AB37" s="57"/>
      <c r="AC37" s="62">
        <v>8</v>
      </c>
      <c r="AD37" s="86">
        <v>1915</v>
      </c>
      <c r="AE37" s="88" t="s">
        <v>140</v>
      </c>
      <c r="AF37" s="82">
        <v>0</v>
      </c>
      <c r="AG37" s="82">
        <v>0</v>
      </c>
      <c r="AH37" s="82">
        <v>0</v>
      </c>
      <c r="AI37" s="83">
        <v>0</v>
      </c>
      <c r="AJ37" s="84"/>
      <c r="AK37" s="82">
        <v>0</v>
      </c>
      <c r="AL37" s="82">
        <v>0</v>
      </c>
      <c r="AM37" s="82">
        <v>0</v>
      </c>
      <c r="AN37" s="83">
        <v>0</v>
      </c>
      <c r="AO37" s="85">
        <v>0</v>
      </c>
      <c r="AP37" s="57"/>
      <c r="AQ37" s="62">
        <v>8</v>
      </c>
      <c r="AR37" s="86">
        <v>1915</v>
      </c>
      <c r="AS37" s="88" t="s">
        <v>140</v>
      </c>
      <c r="AT37" s="82">
        <v>0</v>
      </c>
      <c r="AU37" s="82">
        <v>0</v>
      </c>
      <c r="AV37" s="82">
        <v>0</v>
      </c>
      <c r="AW37" s="83">
        <v>0</v>
      </c>
      <c r="AX37" s="84"/>
      <c r="AY37" s="82">
        <v>0</v>
      </c>
      <c r="AZ37" s="82">
        <v>0</v>
      </c>
      <c r="BA37" s="82">
        <v>0</v>
      </c>
      <c r="BB37" s="83">
        <v>0</v>
      </c>
      <c r="BC37" s="85">
        <v>0</v>
      </c>
      <c r="BD37" s="57"/>
      <c r="BE37" s="62">
        <v>8</v>
      </c>
      <c r="BF37" s="86">
        <v>1915</v>
      </c>
      <c r="BG37" s="88" t="s">
        <v>140</v>
      </c>
      <c r="BH37" s="82">
        <v>0</v>
      </c>
      <c r="BI37" s="82">
        <v>0</v>
      </c>
      <c r="BJ37" s="82">
        <v>0</v>
      </c>
      <c r="BK37" s="83">
        <v>0</v>
      </c>
      <c r="BL37" s="84"/>
      <c r="BM37" s="82">
        <v>0</v>
      </c>
      <c r="BN37" s="82">
        <v>0</v>
      </c>
      <c r="BO37" s="82">
        <v>0</v>
      </c>
      <c r="BP37" s="83">
        <v>0</v>
      </c>
      <c r="BQ37" s="85">
        <v>0</v>
      </c>
    </row>
    <row r="38" spans="1:69" ht="25.5" x14ac:dyDescent="0.25">
      <c r="A38" s="62">
        <v>10</v>
      </c>
      <c r="B38" s="86">
        <v>1920</v>
      </c>
      <c r="C38" s="88" t="s">
        <v>141</v>
      </c>
      <c r="D38" s="82">
        <v>0</v>
      </c>
      <c r="E38" s="82">
        <v>0</v>
      </c>
      <c r="F38" s="82">
        <v>0</v>
      </c>
      <c r="G38" s="83">
        <v>0</v>
      </c>
      <c r="H38" s="84"/>
      <c r="I38" s="82">
        <v>0</v>
      </c>
      <c r="J38" s="82">
        <v>0</v>
      </c>
      <c r="K38" s="82">
        <v>0</v>
      </c>
      <c r="L38" s="83">
        <v>0</v>
      </c>
      <c r="M38" s="85">
        <v>0</v>
      </c>
      <c r="N38" s="57"/>
      <c r="O38" s="62">
        <v>10</v>
      </c>
      <c r="P38" s="86">
        <v>1920</v>
      </c>
      <c r="Q38" s="88" t="s">
        <v>141</v>
      </c>
      <c r="R38" s="82">
        <v>0</v>
      </c>
      <c r="S38" s="82">
        <v>0</v>
      </c>
      <c r="T38" s="82">
        <v>0</v>
      </c>
      <c r="U38" s="83">
        <v>0</v>
      </c>
      <c r="V38" s="84"/>
      <c r="W38" s="82">
        <v>0</v>
      </c>
      <c r="X38" s="82">
        <v>0</v>
      </c>
      <c r="Y38" s="82">
        <v>0</v>
      </c>
      <c r="Z38" s="83">
        <v>0</v>
      </c>
      <c r="AA38" s="85">
        <v>0</v>
      </c>
      <c r="AB38" s="57"/>
      <c r="AC38" s="62">
        <v>10</v>
      </c>
      <c r="AD38" s="86">
        <v>1920</v>
      </c>
      <c r="AE38" s="88" t="s">
        <v>141</v>
      </c>
      <c r="AF38" s="82">
        <v>0</v>
      </c>
      <c r="AG38" s="82">
        <v>0</v>
      </c>
      <c r="AH38" s="82">
        <v>0</v>
      </c>
      <c r="AI38" s="83">
        <v>0</v>
      </c>
      <c r="AJ38" s="84"/>
      <c r="AK38" s="82">
        <v>0</v>
      </c>
      <c r="AL38" s="82">
        <v>0</v>
      </c>
      <c r="AM38" s="82">
        <v>0</v>
      </c>
      <c r="AN38" s="83">
        <v>0</v>
      </c>
      <c r="AO38" s="85">
        <v>0</v>
      </c>
      <c r="AP38" s="57"/>
      <c r="AQ38" s="62">
        <v>10</v>
      </c>
      <c r="AR38" s="86">
        <v>1920</v>
      </c>
      <c r="AS38" s="88" t="s">
        <v>141</v>
      </c>
      <c r="AT38" s="82">
        <v>0</v>
      </c>
      <c r="AU38" s="82">
        <v>0</v>
      </c>
      <c r="AV38" s="82">
        <v>0</v>
      </c>
      <c r="AW38" s="83">
        <v>0</v>
      </c>
      <c r="AX38" s="84"/>
      <c r="AY38" s="82">
        <v>0</v>
      </c>
      <c r="AZ38" s="82">
        <v>0</v>
      </c>
      <c r="BA38" s="82">
        <v>0</v>
      </c>
      <c r="BB38" s="83">
        <v>0</v>
      </c>
      <c r="BC38" s="85">
        <v>0</v>
      </c>
      <c r="BD38" s="57"/>
      <c r="BE38" s="62">
        <v>10</v>
      </c>
      <c r="BF38" s="86">
        <v>1920</v>
      </c>
      <c r="BG38" s="88" t="s">
        <v>141</v>
      </c>
      <c r="BH38" s="82">
        <v>0</v>
      </c>
      <c r="BI38" s="82">
        <v>0</v>
      </c>
      <c r="BJ38" s="82">
        <v>0</v>
      </c>
      <c r="BK38" s="83">
        <v>0</v>
      </c>
      <c r="BL38" s="84"/>
      <c r="BM38" s="82">
        <v>0</v>
      </c>
      <c r="BN38" s="82">
        <v>0</v>
      </c>
      <c r="BO38" s="82">
        <v>0</v>
      </c>
      <c r="BP38" s="83">
        <v>0</v>
      </c>
      <c r="BQ38" s="85">
        <v>0</v>
      </c>
    </row>
    <row r="39" spans="1:69" ht="38.25" x14ac:dyDescent="0.25">
      <c r="A39" s="62">
        <v>45</v>
      </c>
      <c r="B39" s="89">
        <v>1920</v>
      </c>
      <c r="C39" s="81" t="s">
        <v>142</v>
      </c>
      <c r="D39" s="82">
        <v>0</v>
      </c>
      <c r="E39" s="82">
        <v>0</v>
      </c>
      <c r="F39" s="82">
        <v>0</v>
      </c>
      <c r="G39" s="83">
        <v>0</v>
      </c>
      <c r="H39" s="84"/>
      <c r="I39" s="82">
        <v>0</v>
      </c>
      <c r="J39" s="82">
        <v>0</v>
      </c>
      <c r="K39" s="82">
        <v>0</v>
      </c>
      <c r="L39" s="83">
        <v>0</v>
      </c>
      <c r="M39" s="85">
        <v>0</v>
      </c>
      <c r="N39" s="57"/>
      <c r="O39" s="62">
        <v>45</v>
      </c>
      <c r="P39" s="89">
        <v>1920</v>
      </c>
      <c r="Q39" s="81" t="s">
        <v>142</v>
      </c>
      <c r="R39" s="82">
        <v>0</v>
      </c>
      <c r="S39" s="82">
        <v>0</v>
      </c>
      <c r="T39" s="82">
        <v>0</v>
      </c>
      <c r="U39" s="83">
        <v>0</v>
      </c>
      <c r="V39" s="84"/>
      <c r="W39" s="82">
        <v>0</v>
      </c>
      <c r="X39" s="82">
        <v>0</v>
      </c>
      <c r="Y39" s="82">
        <v>0</v>
      </c>
      <c r="Z39" s="83">
        <v>0</v>
      </c>
      <c r="AA39" s="85">
        <v>0</v>
      </c>
      <c r="AB39" s="57"/>
      <c r="AC39" s="62">
        <v>45</v>
      </c>
      <c r="AD39" s="89">
        <v>1920</v>
      </c>
      <c r="AE39" s="81" t="s">
        <v>142</v>
      </c>
      <c r="AF39" s="82">
        <v>0</v>
      </c>
      <c r="AG39" s="82">
        <v>0</v>
      </c>
      <c r="AH39" s="82">
        <v>0</v>
      </c>
      <c r="AI39" s="83">
        <v>0</v>
      </c>
      <c r="AJ39" s="84"/>
      <c r="AK39" s="82">
        <v>0</v>
      </c>
      <c r="AL39" s="82">
        <v>0</v>
      </c>
      <c r="AM39" s="82">
        <v>0</v>
      </c>
      <c r="AN39" s="83">
        <v>0</v>
      </c>
      <c r="AO39" s="85">
        <v>0</v>
      </c>
      <c r="AP39" s="57"/>
      <c r="AQ39" s="62">
        <v>45</v>
      </c>
      <c r="AR39" s="89">
        <v>1920</v>
      </c>
      <c r="AS39" s="81" t="s">
        <v>142</v>
      </c>
      <c r="AT39" s="82">
        <v>0</v>
      </c>
      <c r="AU39" s="82">
        <v>0</v>
      </c>
      <c r="AV39" s="82">
        <v>0</v>
      </c>
      <c r="AW39" s="83">
        <v>0</v>
      </c>
      <c r="AX39" s="84"/>
      <c r="AY39" s="82">
        <v>0</v>
      </c>
      <c r="AZ39" s="82">
        <v>0</v>
      </c>
      <c r="BA39" s="82">
        <v>0</v>
      </c>
      <c r="BB39" s="83">
        <v>0</v>
      </c>
      <c r="BC39" s="85">
        <v>0</v>
      </c>
      <c r="BD39" s="57"/>
      <c r="BE39" s="62">
        <v>45</v>
      </c>
      <c r="BF39" s="89">
        <v>1920</v>
      </c>
      <c r="BG39" s="81" t="s">
        <v>142</v>
      </c>
      <c r="BH39" s="82">
        <v>0</v>
      </c>
      <c r="BI39" s="82">
        <v>0</v>
      </c>
      <c r="BJ39" s="82">
        <v>0</v>
      </c>
      <c r="BK39" s="83">
        <v>0</v>
      </c>
      <c r="BL39" s="84"/>
      <c r="BM39" s="82">
        <v>0</v>
      </c>
      <c r="BN39" s="82">
        <v>0</v>
      </c>
      <c r="BO39" s="82">
        <v>0</v>
      </c>
      <c r="BP39" s="83">
        <v>0</v>
      </c>
      <c r="BQ39" s="85">
        <v>0</v>
      </c>
    </row>
    <row r="40" spans="1:69" ht="38.25" x14ac:dyDescent="0.25">
      <c r="A40" s="62">
        <v>45.1</v>
      </c>
      <c r="B40" s="89">
        <v>1920</v>
      </c>
      <c r="C40" s="81" t="s">
        <v>143</v>
      </c>
      <c r="D40" s="82">
        <v>103440.07</v>
      </c>
      <c r="E40" s="82">
        <v>45494.65</v>
      </c>
      <c r="F40" s="82">
        <v>0</v>
      </c>
      <c r="G40" s="83">
        <v>148934.72</v>
      </c>
      <c r="H40" s="84"/>
      <c r="I40" s="82">
        <v>-25860.07</v>
      </c>
      <c r="J40" s="82">
        <v>-40269</v>
      </c>
      <c r="K40" s="82">
        <v>0</v>
      </c>
      <c r="L40" s="83">
        <v>-66129.070000000007</v>
      </c>
      <c r="M40" s="85">
        <v>82805.649999999994</v>
      </c>
      <c r="N40" s="57"/>
      <c r="O40" s="62">
        <v>45.1</v>
      </c>
      <c r="P40" s="89">
        <v>1920</v>
      </c>
      <c r="Q40" s="81" t="s">
        <v>143</v>
      </c>
      <c r="R40" s="82">
        <v>148934.72</v>
      </c>
      <c r="S40" s="82">
        <v>8703.7000000000007</v>
      </c>
      <c r="T40" s="82">
        <v>0</v>
      </c>
      <c r="U40" s="83">
        <v>157638.42000000001</v>
      </c>
      <c r="V40" s="84"/>
      <c r="W40" s="82">
        <v>-66129.070000000007</v>
      </c>
      <c r="X40" s="82">
        <v>-43578.660000000011</v>
      </c>
      <c r="Y40" s="82">
        <v>0</v>
      </c>
      <c r="Z40" s="83">
        <v>-109707.73000000001</v>
      </c>
      <c r="AA40" s="85">
        <v>47930.69</v>
      </c>
      <c r="AB40" s="57"/>
      <c r="AC40" s="62">
        <v>45.1</v>
      </c>
      <c r="AD40" s="89">
        <v>1920</v>
      </c>
      <c r="AE40" s="81" t="s">
        <v>143</v>
      </c>
      <c r="AF40" s="82">
        <v>157638.42000000001</v>
      </c>
      <c r="AG40" s="82">
        <v>9465.39</v>
      </c>
      <c r="AH40" s="82">
        <v>0</v>
      </c>
      <c r="AI40" s="83">
        <v>167103.81</v>
      </c>
      <c r="AJ40" s="84"/>
      <c r="AK40" s="82">
        <v>-109707.73000000001</v>
      </c>
      <c r="AL40" s="82">
        <v>-34083.07</v>
      </c>
      <c r="AM40" s="82">
        <v>0</v>
      </c>
      <c r="AN40" s="83">
        <v>-143790.80000000002</v>
      </c>
      <c r="AO40" s="85">
        <v>23313.00999999998</v>
      </c>
      <c r="AP40" s="57"/>
      <c r="AQ40" s="62">
        <v>45.1</v>
      </c>
      <c r="AR40" s="89">
        <v>1920</v>
      </c>
      <c r="AS40" s="81" t="s">
        <v>143</v>
      </c>
      <c r="AT40" s="82">
        <v>167103.81</v>
      </c>
      <c r="AU40" s="82">
        <v>87200</v>
      </c>
      <c r="AV40" s="82">
        <v>0</v>
      </c>
      <c r="AW40" s="83">
        <v>254303.81</v>
      </c>
      <c r="AX40" s="84"/>
      <c r="AY40" s="82">
        <v>-143790.80000000002</v>
      </c>
      <c r="AZ40" s="82">
        <v>-17775.3475</v>
      </c>
      <c r="BA40" s="82">
        <v>0</v>
      </c>
      <c r="BB40" s="83">
        <v>-161566.14750000002</v>
      </c>
      <c r="BC40" s="85">
        <v>92737.662499999977</v>
      </c>
      <c r="BD40" s="57"/>
      <c r="BE40" s="62">
        <v>45.1</v>
      </c>
      <c r="BF40" s="89">
        <v>1920</v>
      </c>
      <c r="BG40" s="81" t="s">
        <v>143</v>
      </c>
      <c r="BH40" s="82">
        <v>254303.81</v>
      </c>
      <c r="BI40" s="82">
        <v>35800</v>
      </c>
      <c r="BJ40" s="82">
        <v>0</v>
      </c>
      <c r="BK40" s="83">
        <v>290103.81</v>
      </c>
      <c r="BL40" s="84"/>
      <c r="BM40" s="82">
        <v>-161566.14750000002</v>
      </c>
      <c r="BN40" s="82">
        <v>-30374.3475</v>
      </c>
      <c r="BO40" s="82">
        <v>0</v>
      </c>
      <c r="BP40" s="83">
        <v>-191940.49500000002</v>
      </c>
      <c r="BQ40" s="85">
        <v>98163.314999999973</v>
      </c>
    </row>
    <row r="41" spans="1:69" ht="25.5" x14ac:dyDescent="0.25">
      <c r="A41" s="62">
        <v>10</v>
      </c>
      <c r="B41" s="111">
        <v>1930</v>
      </c>
      <c r="C41" s="88" t="s">
        <v>144</v>
      </c>
      <c r="D41" s="82">
        <v>2928989.74</v>
      </c>
      <c r="E41" s="82">
        <v>176849.29</v>
      </c>
      <c r="F41" s="82">
        <v>-178723.91999999998</v>
      </c>
      <c r="G41" s="83">
        <v>2927115.1100000003</v>
      </c>
      <c r="H41" s="84"/>
      <c r="I41" s="82">
        <v>-2132691.7399999998</v>
      </c>
      <c r="J41" s="82">
        <v>-111200</v>
      </c>
      <c r="K41" s="82">
        <v>178723.91999999998</v>
      </c>
      <c r="L41" s="83">
        <v>-2065167.8199999998</v>
      </c>
      <c r="M41" s="85">
        <v>861947.2900000005</v>
      </c>
      <c r="N41" s="57"/>
      <c r="O41" s="62">
        <v>10</v>
      </c>
      <c r="P41" s="111">
        <v>1930</v>
      </c>
      <c r="Q41" s="88" t="s">
        <v>144</v>
      </c>
      <c r="R41" s="82">
        <v>2927115.1100000003</v>
      </c>
      <c r="S41" s="82">
        <v>118016.59000000001</v>
      </c>
      <c r="T41" s="82">
        <v>-78658.23</v>
      </c>
      <c r="U41" s="83">
        <v>2966473.47</v>
      </c>
      <c r="V41" s="84"/>
      <c r="W41" s="82">
        <v>-2065167.8199999998</v>
      </c>
      <c r="X41" s="82">
        <v>-134271.92000000001</v>
      </c>
      <c r="Y41" s="82">
        <v>78658.23</v>
      </c>
      <c r="Z41" s="83">
        <v>-2120781.5099999998</v>
      </c>
      <c r="AA41" s="85">
        <v>845691.96000000043</v>
      </c>
      <c r="AB41" s="57"/>
      <c r="AC41" s="62">
        <v>10</v>
      </c>
      <c r="AD41" s="111">
        <v>1930</v>
      </c>
      <c r="AE41" s="88" t="s">
        <v>144</v>
      </c>
      <c r="AF41" s="82">
        <v>2966473.47</v>
      </c>
      <c r="AG41" s="82">
        <v>399908.76</v>
      </c>
      <c r="AH41" s="82">
        <v>0</v>
      </c>
      <c r="AI41" s="83">
        <v>3366382.2300000004</v>
      </c>
      <c r="AJ41" s="84"/>
      <c r="AK41" s="82">
        <v>-2120781.5099999998</v>
      </c>
      <c r="AL41" s="82">
        <v>-153396.91</v>
      </c>
      <c r="AM41" s="82">
        <v>0</v>
      </c>
      <c r="AN41" s="83">
        <v>-2274178.42</v>
      </c>
      <c r="AO41" s="85">
        <v>1092203.8100000005</v>
      </c>
      <c r="AP41" s="57"/>
      <c r="AQ41" s="62">
        <v>10</v>
      </c>
      <c r="AR41" s="111">
        <v>1930</v>
      </c>
      <c r="AS41" s="88" t="s">
        <v>144</v>
      </c>
      <c r="AT41" s="82">
        <v>3366382.2300000004</v>
      </c>
      <c r="AU41" s="82">
        <v>400000</v>
      </c>
      <c r="AV41" s="82">
        <v>0</v>
      </c>
      <c r="AW41" s="83">
        <v>3766382.2300000004</v>
      </c>
      <c r="AX41" s="84"/>
      <c r="AY41" s="82">
        <v>-2274178.42</v>
      </c>
      <c r="AZ41" s="82">
        <v>-181300.70076923078</v>
      </c>
      <c r="BA41" s="82">
        <v>0</v>
      </c>
      <c r="BB41" s="83">
        <v>-2455479.1207692306</v>
      </c>
      <c r="BC41" s="85">
        <v>1310903.1092307698</v>
      </c>
      <c r="BD41" s="57"/>
      <c r="BE41" s="62">
        <v>10</v>
      </c>
      <c r="BF41" s="111">
        <v>1930</v>
      </c>
      <c r="BG41" s="88" t="s">
        <v>144</v>
      </c>
      <c r="BH41" s="82">
        <v>3766382.2300000004</v>
      </c>
      <c r="BI41" s="82">
        <v>325000</v>
      </c>
      <c r="BJ41" s="82">
        <v>0</v>
      </c>
      <c r="BK41" s="83">
        <v>4091382.2300000004</v>
      </c>
      <c r="BL41" s="84"/>
      <c r="BM41" s="82">
        <v>-2455479.1207692306</v>
      </c>
      <c r="BN41" s="82">
        <v>-214427.54692307694</v>
      </c>
      <c r="BO41" s="82">
        <v>0</v>
      </c>
      <c r="BP41" s="83">
        <v>-2669906.6676923074</v>
      </c>
      <c r="BQ41" s="85">
        <v>1421475.5623076931</v>
      </c>
    </row>
    <row r="42" spans="1:69" x14ac:dyDescent="0.25">
      <c r="A42" s="62">
        <v>8</v>
      </c>
      <c r="B42" s="111">
        <v>1935</v>
      </c>
      <c r="C42" s="88" t="s">
        <v>145</v>
      </c>
      <c r="D42" s="82">
        <v>0</v>
      </c>
      <c r="E42" s="82">
        <v>5184.25</v>
      </c>
      <c r="F42" s="82">
        <v>0</v>
      </c>
      <c r="G42" s="83">
        <v>5184.25</v>
      </c>
      <c r="H42" s="84"/>
      <c r="I42" s="82">
        <v>0</v>
      </c>
      <c r="J42" s="82">
        <v>-259</v>
      </c>
      <c r="K42" s="82">
        <v>0</v>
      </c>
      <c r="L42" s="83">
        <v>-259</v>
      </c>
      <c r="M42" s="85">
        <v>4925.25</v>
      </c>
      <c r="N42" s="57"/>
      <c r="O42" s="62">
        <v>8</v>
      </c>
      <c r="P42" s="111">
        <v>1935</v>
      </c>
      <c r="Q42" s="88" t="s">
        <v>145</v>
      </c>
      <c r="R42" s="82">
        <v>5184.25</v>
      </c>
      <c r="S42" s="82">
        <v>0</v>
      </c>
      <c r="T42" s="82">
        <v>0</v>
      </c>
      <c r="U42" s="83">
        <v>5184.25</v>
      </c>
      <c r="V42" s="84"/>
      <c r="W42" s="82">
        <v>-259</v>
      </c>
      <c r="X42" s="82">
        <v>-492.5200000000001</v>
      </c>
      <c r="Y42" s="82">
        <v>0</v>
      </c>
      <c r="Z42" s="83">
        <v>-751.5200000000001</v>
      </c>
      <c r="AA42" s="85">
        <v>4432.7299999999996</v>
      </c>
      <c r="AB42" s="57"/>
      <c r="AC42" s="62">
        <v>8</v>
      </c>
      <c r="AD42" s="111">
        <v>1935</v>
      </c>
      <c r="AE42" s="88" t="s">
        <v>145</v>
      </c>
      <c r="AF42" s="82">
        <v>5184.25</v>
      </c>
      <c r="AG42" s="82">
        <v>0</v>
      </c>
      <c r="AH42" s="82">
        <v>0</v>
      </c>
      <c r="AI42" s="83">
        <v>5184.25</v>
      </c>
      <c r="AJ42" s="84"/>
      <c r="AK42" s="82">
        <v>-751.5200000000001</v>
      </c>
      <c r="AL42" s="82">
        <v>-492.52</v>
      </c>
      <c r="AM42" s="82">
        <v>0</v>
      </c>
      <c r="AN42" s="83">
        <v>-1244.04</v>
      </c>
      <c r="AO42" s="85">
        <v>3940.21</v>
      </c>
      <c r="AP42" s="57"/>
      <c r="AQ42" s="62">
        <v>8</v>
      </c>
      <c r="AR42" s="111">
        <v>1935</v>
      </c>
      <c r="AS42" s="88" t="s">
        <v>145</v>
      </c>
      <c r="AT42" s="82">
        <v>5184.25</v>
      </c>
      <c r="AU42" s="82">
        <v>0</v>
      </c>
      <c r="AV42" s="82">
        <v>0</v>
      </c>
      <c r="AW42" s="83">
        <v>5184.25</v>
      </c>
      <c r="AX42" s="84"/>
      <c r="AY42" s="82">
        <v>-1244.04</v>
      </c>
      <c r="AZ42" s="82">
        <v>-518</v>
      </c>
      <c r="BA42" s="82">
        <v>0</v>
      </c>
      <c r="BB42" s="83">
        <v>-1762.04</v>
      </c>
      <c r="BC42" s="85">
        <v>3422.21</v>
      </c>
      <c r="BD42" s="57"/>
      <c r="BE42" s="62">
        <v>8</v>
      </c>
      <c r="BF42" s="111">
        <v>1935</v>
      </c>
      <c r="BG42" s="88" t="s">
        <v>145</v>
      </c>
      <c r="BH42" s="82">
        <v>5184.25</v>
      </c>
      <c r="BI42" s="82">
        <v>0</v>
      </c>
      <c r="BJ42" s="82">
        <v>0</v>
      </c>
      <c r="BK42" s="83">
        <v>5184.25</v>
      </c>
      <c r="BL42" s="84"/>
      <c r="BM42" s="82">
        <v>-1762.04</v>
      </c>
      <c r="BN42" s="82">
        <v>-518</v>
      </c>
      <c r="BO42" s="82">
        <v>0</v>
      </c>
      <c r="BP42" s="83">
        <v>-2280.04</v>
      </c>
      <c r="BQ42" s="85">
        <v>2904.21</v>
      </c>
    </row>
    <row r="43" spans="1:69" ht="25.5" x14ac:dyDescent="0.25">
      <c r="A43" s="62">
        <v>8</v>
      </c>
      <c r="B43" s="111">
        <v>1940</v>
      </c>
      <c r="C43" s="88" t="s">
        <v>146</v>
      </c>
      <c r="D43" s="82">
        <v>143992.15000000002</v>
      </c>
      <c r="E43" s="82">
        <v>21845.72</v>
      </c>
      <c r="F43" s="82">
        <v>0</v>
      </c>
      <c r="G43" s="83">
        <v>165837.87000000002</v>
      </c>
      <c r="H43" s="84"/>
      <c r="I43" s="82">
        <v>-73675.16</v>
      </c>
      <c r="J43" s="82">
        <v>-15492</v>
      </c>
      <c r="K43" s="82">
        <v>0</v>
      </c>
      <c r="L43" s="83">
        <v>-89167.16</v>
      </c>
      <c r="M43" s="85">
        <v>76670.710000000021</v>
      </c>
      <c r="N43" s="57"/>
      <c r="O43" s="62">
        <v>8</v>
      </c>
      <c r="P43" s="111">
        <v>1940</v>
      </c>
      <c r="Q43" s="88" t="s">
        <v>146</v>
      </c>
      <c r="R43" s="82">
        <v>165837.87000000002</v>
      </c>
      <c r="S43" s="82">
        <v>20959.350000000002</v>
      </c>
      <c r="T43" s="82">
        <v>0</v>
      </c>
      <c r="U43" s="83">
        <v>186797.22000000003</v>
      </c>
      <c r="V43" s="84"/>
      <c r="W43" s="82">
        <v>-89167.16</v>
      </c>
      <c r="X43" s="82">
        <v>-17394.879999999997</v>
      </c>
      <c r="Y43" s="82">
        <v>0</v>
      </c>
      <c r="Z43" s="83">
        <v>-106562.04000000001</v>
      </c>
      <c r="AA43" s="85">
        <v>80235.180000000022</v>
      </c>
      <c r="AB43" s="57"/>
      <c r="AC43" s="62">
        <v>8</v>
      </c>
      <c r="AD43" s="111">
        <v>1940</v>
      </c>
      <c r="AE43" s="88" t="s">
        <v>146</v>
      </c>
      <c r="AF43" s="82">
        <v>186797.22000000003</v>
      </c>
      <c r="AG43" s="82">
        <v>25002.16</v>
      </c>
      <c r="AH43" s="82">
        <v>0</v>
      </c>
      <c r="AI43" s="83">
        <v>211799.38000000003</v>
      </c>
      <c r="AJ43" s="84"/>
      <c r="AK43" s="82">
        <v>-106562.04000000001</v>
      </c>
      <c r="AL43" s="82">
        <v>-19035.95</v>
      </c>
      <c r="AM43" s="82">
        <v>0</v>
      </c>
      <c r="AN43" s="83">
        <v>-125597.99</v>
      </c>
      <c r="AO43" s="85">
        <v>86201.390000000029</v>
      </c>
      <c r="AP43" s="57"/>
      <c r="AQ43" s="62">
        <v>8</v>
      </c>
      <c r="AR43" s="111">
        <v>1940</v>
      </c>
      <c r="AS43" s="88" t="s">
        <v>146</v>
      </c>
      <c r="AT43" s="82">
        <v>211799.38000000003</v>
      </c>
      <c r="AU43" s="82">
        <v>25000</v>
      </c>
      <c r="AV43" s="82">
        <v>0</v>
      </c>
      <c r="AW43" s="83">
        <v>236799.38000000003</v>
      </c>
      <c r="AX43" s="84"/>
      <c r="AY43" s="82">
        <v>-125597.99</v>
      </c>
      <c r="AZ43" s="82">
        <v>-18863.216</v>
      </c>
      <c r="BA43" s="82">
        <v>0</v>
      </c>
      <c r="BB43" s="83">
        <v>-144461.20600000001</v>
      </c>
      <c r="BC43" s="85">
        <v>92338.174000000028</v>
      </c>
      <c r="BD43" s="57"/>
      <c r="BE43" s="62">
        <v>8</v>
      </c>
      <c r="BF43" s="111">
        <v>1940</v>
      </c>
      <c r="BG43" s="88" t="s">
        <v>146</v>
      </c>
      <c r="BH43" s="82">
        <v>236799.38000000003</v>
      </c>
      <c r="BI43" s="82">
        <v>25000</v>
      </c>
      <c r="BJ43" s="82">
        <v>0</v>
      </c>
      <c r="BK43" s="83">
        <v>261799.38000000003</v>
      </c>
      <c r="BL43" s="84"/>
      <c r="BM43" s="82">
        <v>-144461.20600000001</v>
      </c>
      <c r="BN43" s="82">
        <v>-19287.216</v>
      </c>
      <c r="BO43" s="82">
        <v>0</v>
      </c>
      <c r="BP43" s="83">
        <v>-163748.42200000002</v>
      </c>
      <c r="BQ43" s="85">
        <v>98050.958000000013</v>
      </c>
    </row>
    <row r="44" spans="1:69" ht="25.5" x14ac:dyDescent="0.25">
      <c r="A44" s="62">
        <v>8</v>
      </c>
      <c r="B44" s="111">
        <v>1945</v>
      </c>
      <c r="C44" s="88" t="s">
        <v>147</v>
      </c>
      <c r="D44" s="82">
        <v>0</v>
      </c>
      <c r="E44" s="82">
        <v>0</v>
      </c>
      <c r="F44" s="82">
        <v>0</v>
      </c>
      <c r="G44" s="83">
        <v>0</v>
      </c>
      <c r="H44" s="84"/>
      <c r="I44" s="82">
        <v>0</v>
      </c>
      <c r="J44" s="82">
        <v>0</v>
      </c>
      <c r="K44" s="82">
        <v>0</v>
      </c>
      <c r="L44" s="83">
        <v>0</v>
      </c>
      <c r="M44" s="85">
        <v>0</v>
      </c>
      <c r="N44" s="57"/>
      <c r="O44" s="62">
        <v>8</v>
      </c>
      <c r="P44" s="111">
        <v>1945</v>
      </c>
      <c r="Q44" s="88" t="s">
        <v>147</v>
      </c>
      <c r="R44" s="82">
        <v>0</v>
      </c>
      <c r="S44" s="82">
        <v>8114.4900000000007</v>
      </c>
      <c r="T44" s="82">
        <v>0</v>
      </c>
      <c r="U44" s="83">
        <v>8114.4900000000007</v>
      </c>
      <c r="V44" s="84"/>
      <c r="W44" s="82">
        <v>0</v>
      </c>
      <c r="X44" s="82">
        <v>-405.73</v>
      </c>
      <c r="Y44" s="82">
        <v>0</v>
      </c>
      <c r="Z44" s="83">
        <v>-405.73</v>
      </c>
      <c r="AA44" s="85">
        <v>7708.76</v>
      </c>
      <c r="AB44" s="57"/>
      <c r="AC44" s="62">
        <v>8</v>
      </c>
      <c r="AD44" s="111">
        <v>1945</v>
      </c>
      <c r="AE44" s="88" t="s">
        <v>147</v>
      </c>
      <c r="AF44" s="82">
        <v>8114.4900000000007</v>
      </c>
      <c r="AG44" s="82">
        <v>0</v>
      </c>
      <c r="AH44" s="82">
        <v>0</v>
      </c>
      <c r="AI44" s="83">
        <v>8114.4900000000007</v>
      </c>
      <c r="AJ44" s="84"/>
      <c r="AK44" s="82">
        <v>-405.73</v>
      </c>
      <c r="AL44" s="82">
        <v>-811.44</v>
      </c>
      <c r="AM44" s="82">
        <v>0</v>
      </c>
      <c r="AN44" s="83">
        <v>-1217.17</v>
      </c>
      <c r="AO44" s="85">
        <v>6897.3200000000006</v>
      </c>
      <c r="AP44" s="57"/>
      <c r="AQ44" s="62">
        <v>8</v>
      </c>
      <c r="AR44" s="111">
        <v>1945</v>
      </c>
      <c r="AS44" s="88" t="s">
        <v>147</v>
      </c>
      <c r="AT44" s="82">
        <v>8114.4900000000007</v>
      </c>
      <c r="AU44" s="82">
        <v>0</v>
      </c>
      <c r="AV44" s="82">
        <v>0</v>
      </c>
      <c r="AW44" s="83">
        <v>8114.4900000000007</v>
      </c>
      <c r="AX44" s="84"/>
      <c r="AY44" s="82">
        <v>-1217.17</v>
      </c>
      <c r="AZ44" s="82">
        <v>-812</v>
      </c>
      <c r="BA44" s="82">
        <v>0</v>
      </c>
      <c r="BB44" s="83">
        <v>-2029.17</v>
      </c>
      <c r="BC44" s="85">
        <v>6085.3200000000006</v>
      </c>
      <c r="BD44" s="57"/>
      <c r="BE44" s="62">
        <v>8</v>
      </c>
      <c r="BF44" s="111">
        <v>1945</v>
      </c>
      <c r="BG44" s="88" t="s">
        <v>147</v>
      </c>
      <c r="BH44" s="82">
        <v>8114.4900000000007</v>
      </c>
      <c r="BI44" s="82">
        <v>0</v>
      </c>
      <c r="BJ44" s="82">
        <v>0</v>
      </c>
      <c r="BK44" s="83">
        <v>8114.4900000000007</v>
      </c>
      <c r="BL44" s="84"/>
      <c r="BM44" s="82">
        <v>-2029.17</v>
      </c>
      <c r="BN44" s="82">
        <v>-812</v>
      </c>
      <c r="BO44" s="82">
        <v>0</v>
      </c>
      <c r="BP44" s="83">
        <v>-2841.17</v>
      </c>
      <c r="BQ44" s="85">
        <v>5273.3200000000006</v>
      </c>
    </row>
    <row r="45" spans="1:69" ht="25.5" x14ac:dyDescent="0.25">
      <c r="A45" s="62">
        <v>8</v>
      </c>
      <c r="B45" s="111">
        <v>1950</v>
      </c>
      <c r="C45" s="88" t="s">
        <v>148</v>
      </c>
      <c r="D45" s="82">
        <v>0</v>
      </c>
      <c r="E45" s="82">
        <v>0</v>
      </c>
      <c r="F45" s="82">
        <v>0</v>
      </c>
      <c r="G45" s="83">
        <v>0</v>
      </c>
      <c r="H45" s="84"/>
      <c r="I45" s="82">
        <v>0</v>
      </c>
      <c r="J45" s="82">
        <v>0</v>
      </c>
      <c r="K45" s="82">
        <v>0</v>
      </c>
      <c r="L45" s="83">
        <v>0</v>
      </c>
      <c r="M45" s="85">
        <v>0</v>
      </c>
      <c r="N45" s="57"/>
      <c r="O45" s="62">
        <v>8</v>
      </c>
      <c r="P45" s="111">
        <v>1950</v>
      </c>
      <c r="Q45" s="88" t="s">
        <v>148</v>
      </c>
      <c r="R45" s="82">
        <v>0</v>
      </c>
      <c r="S45" s="82">
        <v>0</v>
      </c>
      <c r="T45" s="82">
        <v>0</v>
      </c>
      <c r="U45" s="83">
        <v>0</v>
      </c>
      <c r="V45" s="84"/>
      <c r="W45" s="82">
        <v>0</v>
      </c>
      <c r="X45" s="82">
        <v>0</v>
      </c>
      <c r="Y45" s="82">
        <v>0</v>
      </c>
      <c r="Z45" s="83">
        <v>0</v>
      </c>
      <c r="AA45" s="85">
        <v>0</v>
      </c>
      <c r="AB45" s="57"/>
      <c r="AC45" s="62">
        <v>8</v>
      </c>
      <c r="AD45" s="111">
        <v>1950</v>
      </c>
      <c r="AE45" s="88" t="s">
        <v>148</v>
      </c>
      <c r="AF45" s="82">
        <v>0</v>
      </c>
      <c r="AG45" s="82">
        <v>0</v>
      </c>
      <c r="AH45" s="82">
        <v>0</v>
      </c>
      <c r="AI45" s="83">
        <v>0</v>
      </c>
      <c r="AJ45" s="84"/>
      <c r="AK45" s="82">
        <v>0</v>
      </c>
      <c r="AL45" s="82">
        <v>0</v>
      </c>
      <c r="AM45" s="82">
        <v>0</v>
      </c>
      <c r="AN45" s="83">
        <v>0</v>
      </c>
      <c r="AO45" s="85">
        <v>0</v>
      </c>
      <c r="AP45" s="57"/>
      <c r="AQ45" s="62">
        <v>8</v>
      </c>
      <c r="AR45" s="111">
        <v>1950</v>
      </c>
      <c r="AS45" s="88" t="s">
        <v>148</v>
      </c>
      <c r="AT45" s="82">
        <v>0</v>
      </c>
      <c r="AU45" s="82">
        <v>0</v>
      </c>
      <c r="AV45" s="82">
        <v>0</v>
      </c>
      <c r="AW45" s="83">
        <v>0</v>
      </c>
      <c r="AX45" s="84"/>
      <c r="AY45" s="82">
        <v>0</v>
      </c>
      <c r="AZ45" s="82">
        <v>0</v>
      </c>
      <c r="BA45" s="82">
        <v>0</v>
      </c>
      <c r="BB45" s="83">
        <v>0</v>
      </c>
      <c r="BC45" s="85">
        <v>0</v>
      </c>
      <c r="BD45" s="57"/>
      <c r="BE45" s="62">
        <v>8</v>
      </c>
      <c r="BF45" s="111">
        <v>1950</v>
      </c>
      <c r="BG45" s="88" t="s">
        <v>148</v>
      </c>
      <c r="BH45" s="82">
        <v>0</v>
      </c>
      <c r="BI45" s="82">
        <v>0</v>
      </c>
      <c r="BJ45" s="82">
        <v>0</v>
      </c>
      <c r="BK45" s="83">
        <v>0</v>
      </c>
      <c r="BL45" s="84"/>
      <c r="BM45" s="82">
        <v>0</v>
      </c>
      <c r="BN45" s="82">
        <v>0</v>
      </c>
      <c r="BO45" s="82">
        <v>0</v>
      </c>
      <c r="BP45" s="83">
        <v>0</v>
      </c>
      <c r="BQ45" s="85">
        <v>0</v>
      </c>
    </row>
    <row r="46" spans="1:69" ht="25.5" x14ac:dyDescent="0.25">
      <c r="A46" s="62">
        <v>8</v>
      </c>
      <c r="B46" s="111">
        <v>1955</v>
      </c>
      <c r="C46" s="88" t="s">
        <v>149</v>
      </c>
      <c r="D46" s="82">
        <v>24208.6</v>
      </c>
      <c r="E46" s="82">
        <v>0</v>
      </c>
      <c r="F46" s="82">
        <v>0</v>
      </c>
      <c r="G46" s="83">
        <v>24208.6</v>
      </c>
      <c r="H46" s="84"/>
      <c r="I46" s="82">
        <v>-4828.8</v>
      </c>
      <c r="J46" s="82">
        <v>-3876</v>
      </c>
      <c r="K46" s="82">
        <v>0</v>
      </c>
      <c r="L46" s="83">
        <v>-8704.7999999999993</v>
      </c>
      <c r="M46" s="85">
        <v>15503.8</v>
      </c>
      <c r="N46" s="57"/>
      <c r="O46" s="62">
        <v>8</v>
      </c>
      <c r="P46" s="111">
        <v>1955</v>
      </c>
      <c r="Q46" s="88" t="s">
        <v>149</v>
      </c>
      <c r="R46" s="82">
        <v>24208.6</v>
      </c>
      <c r="S46" s="82">
        <v>21507.63</v>
      </c>
      <c r="T46" s="82">
        <v>0</v>
      </c>
      <c r="U46" s="83">
        <v>45716.229999999996</v>
      </c>
      <c r="V46" s="84"/>
      <c r="W46" s="82">
        <v>-8704.7999999999993</v>
      </c>
      <c r="X46" s="82">
        <v>-9902.66</v>
      </c>
      <c r="Y46" s="82">
        <v>0</v>
      </c>
      <c r="Z46" s="83">
        <v>-18607.46</v>
      </c>
      <c r="AA46" s="85">
        <v>27108.769999999997</v>
      </c>
      <c r="AB46" s="57"/>
      <c r="AC46" s="62">
        <v>8</v>
      </c>
      <c r="AD46" s="111">
        <v>1955</v>
      </c>
      <c r="AE46" s="88" t="s">
        <v>149</v>
      </c>
      <c r="AF46" s="82">
        <v>45716.229999999996</v>
      </c>
      <c r="AG46" s="82">
        <v>0</v>
      </c>
      <c r="AH46" s="82">
        <v>0</v>
      </c>
      <c r="AI46" s="83">
        <v>45716.229999999996</v>
      </c>
      <c r="AJ46" s="84"/>
      <c r="AK46" s="82">
        <v>-18607.46</v>
      </c>
      <c r="AL46" s="82">
        <v>-12053.43</v>
      </c>
      <c r="AM46" s="82">
        <v>0</v>
      </c>
      <c r="AN46" s="83">
        <v>-30660.89</v>
      </c>
      <c r="AO46" s="85">
        <v>15055.339999999997</v>
      </c>
      <c r="AP46" s="57"/>
      <c r="AQ46" s="62">
        <v>8</v>
      </c>
      <c r="AR46" s="111">
        <v>1955</v>
      </c>
      <c r="AS46" s="88" t="s">
        <v>149</v>
      </c>
      <c r="AT46" s="82">
        <v>45716.229999999996</v>
      </c>
      <c r="AU46" s="82">
        <v>0</v>
      </c>
      <c r="AV46" s="82">
        <v>0</v>
      </c>
      <c r="AW46" s="83">
        <v>45716.229999999996</v>
      </c>
      <c r="AX46" s="84"/>
      <c r="AY46" s="82">
        <v>-30660.89</v>
      </c>
      <c r="AZ46" s="82">
        <v>-12054</v>
      </c>
      <c r="BA46" s="82">
        <v>0</v>
      </c>
      <c r="BB46" s="83">
        <v>-42714.89</v>
      </c>
      <c r="BC46" s="85">
        <v>3001.3399999999965</v>
      </c>
      <c r="BD46" s="57"/>
      <c r="BE46" s="62">
        <v>8</v>
      </c>
      <c r="BF46" s="111">
        <v>1955</v>
      </c>
      <c r="BG46" s="88" t="s">
        <v>149</v>
      </c>
      <c r="BH46" s="82">
        <v>45716.229999999996</v>
      </c>
      <c r="BI46" s="82">
        <v>0</v>
      </c>
      <c r="BJ46" s="82">
        <v>0</v>
      </c>
      <c r="BK46" s="83">
        <v>45716.229999999996</v>
      </c>
      <c r="BL46" s="84"/>
      <c r="BM46" s="82">
        <v>-42714.89</v>
      </c>
      <c r="BN46" s="82">
        <v>-12054</v>
      </c>
      <c r="BO46" s="82">
        <v>0</v>
      </c>
      <c r="BP46" s="83">
        <v>-54768.89</v>
      </c>
      <c r="BQ46" s="85">
        <v>-9052.6600000000035</v>
      </c>
    </row>
    <row r="47" spans="1:69" ht="38.25" x14ac:dyDescent="0.25">
      <c r="A47" s="90">
        <v>8</v>
      </c>
      <c r="B47" s="89">
        <v>1955</v>
      </c>
      <c r="C47" s="91" t="s">
        <v>150</v>
      </c>
      <c r="D47" s="82">
        <v>0</v>
      </c>
      <c r="E47" s="82">
        <v>0</v>
      </c>
      <c r="F47" s="82">
        <v>0</v>
      </c>
      <c r="G47" s="83">
        <v>0</v>
      </c>
      <c r="H47" s="84"/>
      <c r="I47" s="82">
        <v>0</v>
      </c>
      <c r="J47" s="82">
        <v>0</v>
      </c>
      <c r="K47" s="82">
        <v>0</v>
      </c>
      <c r="L47" s="83">
        <v>0</v>
      </c>
      <c r="M47" s="85">
        <v>0</v>
      </c>
      <c r="N47" s="57"/>
      <c r="O47" s="90">
        <v>8</v>
      </c>
      <c r="P47" s="89">
        <v>1955</v>
      </c>
      <c r="Q47" s="91" t="s">
        <v>150</v>
      </c>
      <c r="R47" s="82">
        <v>0</v>
      </c>
      <c r="S47" s="82">
        <v>0</v>
      </c>
      <c r="T47" s="82">
        <v>0</v>
      </c>
      <c r="U47" s="83">
        <v>0</v>
      </c>
      <c r="V47" s="84"/>
      <c r="W47" s="82">
        <v>0</v>
      </c>
      <c r="X47" s="82">
        <v>0</v>
      </c>
      <c r="Y47" s="82">
        <v>0</v>
      </c>
      <c r="Z47" s="83">
        <v>0</v>
      </c>
      <c r="AA47" s="85">
        <v>0</v>
      </c>
      <c r="AB47" s="57"/>
      <c r="AC47" s="90">
        <v>8</v>
      </c>
      <c r="AD47" s="89">
        <v>1955</v>
      </c>
      <c r="AE47" s="91" t="s">
        <v>150</v>
      </c>
      <c r="AF47" s="82">
        <v>0</v>
      </c>
      <c r="AG47" s="82">
        <v>0</v>
      </c>
      <c r="AH47" s="82">
        <v>0</v>
      </c>
      <c r="AI47" s="83">
        <v>0</v>
      </c>
      <c r="AJ47" s="84"/>
      <c r="AK47" s="82">
        <v>0</v>
      </c>
      <c r="AL47" s="82">
        <v>0</v>
      </c>
      <c r="AM47" s="82">
        <v>0</v>
      </c>
      <c r="AN47" s="83">
        <v>0</v>
      </c>
      <c r="AO47" s="85">
        <v>0</v>
      </c>
      <c r="AP47" s="57"/>
      <c r="AQ47" s="90">
        <v>8</v>
      </c>
      <c r="AR47" s="89">
        <v>1955</v>
      </c>
      <c r="AS47" s="91" t="s">
        <v>150</v>
      </c>
      <c r="AT47" s="82">
        <v>0</v>
      </c>
      <c r="AU47" s="82">
        <v>0</v>
      </c>
      <c r="AV47" s="82">
        <v>0</v>
      </c>
      <c r="AW47" s="83">
        <v>0</v>
      </c>
      <c r="AX47" s="84"/>
      <c r="AY47" s="82">
        <v>0</v>
      </c>
      <c r="AZ47" s="82">
        <v>0</v>
      </c>
      <c r="BA47" s="82">
        <v>0</v>
      </c>
      <c r="BB47" s="83">
        <v>0</v>
      </c>
      <c r="BC47" s="85">
        <v>0</v>
      </c>
      <c r="BD47" s="57"/>
      <c r="BE47" s="90">
        <v>8</v>
      </c>
      <c r="BF47" s="89">
        <v>1955</v>
      </c>
      <c r="BG47" s="91" t="s">
        <v>150</v>
      </c>
      <c r="BH47" s="82">
        <v>0</v>
      </c>
      <c r="BI47" s="82">
        <v>0</v>
      </c>
      <c r="BJ47" s="82">
        <v>0</v>
      </c>
      <c r="BK47" s="83">
        <v>0</v>
      </c>
      <c r="BL47" s="84"/>
      <c r="BM47" s="82">
        <v>0</v>
      </c>
      <c r="BN47" s="82">
        <v>0</v>
      </c>
      <c r="BO47" s="82">
        <v>0</v>
      </c>
      <c r="BP47" s="83">
        <v>0</v>
      </c>
      <c r="BQ47" s="85">
        <v>0</v>
      </c>
    </row>
    <row r="48" spans="1:69" ht="25.5" x14ac:dyDescent="0.25">
      <c r="A48" s="90">
        <v>8</v>
      </c>
      <c r="B48" s="92">
        <v>1960</v>
      </c>
      <c r="C48" s="81" t="s">
        <v>151</v>
      </c>
      <c r="D48" s="82">
        <v>0</v>
      </c>
      <c r="E48" s="82">
        <v>0</v>
      </c>
      <c r="F48" s="82">
        <v>0</v>
      </c>
      <c r="G48" s="83">
        <v>0</v>
      </c>
      <c r="H48" s="84"/>
      <c r="I48" s="82">
        <v>0</v>
      </c>
      <c r="J48" s="82">
        <v>0</v>
      </c>
      <c r="K48" s="82">
        <v>0</v>
      </c>
      <c r="L48" s="83">
        <v>0</v>
      </c>
      <c r="M48" s="85">
        <v>0</v>
      </c>
      <c r="N48" s="57"/>
      <c r="O48" s="90">
        <v>8</v>
      </c>
      <c r="P48" s="92">
        <v>1960</v>
      </c>
      <c r="Q48" s="81" t="s">
        <v>151</v>
      </c>
      <c r="R48" s="82">
        <v>0</v>
      </c>
      <c r="S48" s="82">
        <v>0</v>
      </c>
      <c r="T48" s="82">
        <v>0</v>
      </c>
      <c r="U48" s="83">
        <v>0</v>
      </c>
      <c r="V48" s="84"/>
      <c r="W48" s="82">
        <v>0</v>
      </c>
      <c r="X48" s="82">
        <v>0</v>
      </c>
      <c r="Y48" s="82">
        <v>0</v>
      </c>
      <c r="Z48" s="83">
        <v>0</v>
      </c>
      <c r="AA48" s="85">
        <v>0</v>
      </c>
      <c r="AB48" s="57"/>
      <c r="AC48" s="90">
        <v>8</v>
      </c>
      <c r="AD48" s="92">
        <v>1960</v>
      </c>
      <c r="AE48" s="81" t="s">
        <v>151</v>
      </c>
      <c r="AF48" s="82">
        <v>0</v>
      </c>
      <c r="AG48" s="82">
        <v>0</v>
      </c>
      <c r="AH48" s="82">
        <v>0</v>
      </c>
      <c r="AI48" s="83">
        <v>0</v>
      </c>
      <c r="AJ48" s="84"/>
      <c r="AK48" s="82">
        <v>0</v>
      </c>
      <c r="AL48" s="82">
        <v>0</v>
      </c>
      <c r="AM48" s="82">
        <v>0</v>
      </c>
      <c r="AN48" s="83">
        <v>0</v>
      </c>
      <c r="AO48" s="85">
        <v>0</v>
      </c>
      <c r="AP48" s="57"/>
      <c r="AQ48" s="90">
        <v>8</v>
      </c>
      <c r="AR48" s="92">
        <v>1960</v>
      </c>
      <c r="AS48" s="81" t="s">
        <v>151</v>
      </c>
      <c r="AT48" s="82">
        <v>0</v>
      </c>
      <c r="AU48" s="82">
        <v>0</v>
      </c>
      <c r="AV48" s="82">
        <v>0</v>
      </c>
      <c r="AW48" s="83">
        <v>0</v>
      </c>
      <c r="AX48" s="84"/>
      <c r="AY48" s="82">
        <v>0</v>
      </c>
      <c r="AZ48" s="82">
        <v>0</v>
      </c>
      <c r="BA48" s="82">
        <v>0</v>
      </c>
      <c r="BB48" s="83">
        <v>0</v>
      </c>
      <c r="BC48" s="85">
        <v>0</v>
      </c>
      <c r="BD48" s="57"/>
      <c r="BE48" s="90">
        <v>8</v>
      </c>
      <c r="BF48" s="92">
        <v>1960</v>
      </c>
      <c r="BG48" s="81" t="s">
        <v>151</v>
      </c>
      <c r="BH48" s="82">
        <v>0</v>
      </c>
      <c r="BI48" s="82">
        <v>0</v>
      </c>
      <c r="BJ48" s="82">
        <v>0</v>
      </c>
      <c r="BK48" s="83">
        <v>0</v>
      </c>
      <c r="BL48" s="84"/>
      <c r="BM48" s="82">
        <v>0</v>
      </c>
      <c r="BN48" s="82">
        <v>0</v>
      </c>
      <c r="BO48" s="82">
        <v>0</v>
      </c>
      <c r="BP48" s="83">
        <v>0</v>
      </c>
      <c r="BQ48" s="85">
        <v>0</v>
      </c>
    </row>
    <row r="49" spans="1:69" ht="38.25" x14ac:dyDescent="0.25">
      <c r="A49" s="93">
        <v>47</v>
      </c>
      <c r="B49" s="92">
        <v>1970</v>
      </c>
      <c r="C49" s="88" t="s">
        <v>152</v>
      </c>
      <c r="D49" s="82">
        <v>0</v>
      </c>
      <c r="E49" s="82">
        <v>0</v>
      </c>
      <c r="F49" s="82">
        <v>0</v>
      </c>
      <c r="G49" s="83">
        <v>0</v>
      </c>
      <c r="H49" s="84"/>
      <c r="I49" s="82">
        <v>0</v>
      </c>
      <c r="J49" s="82">
        <v>0</v>
      </c>
      <c r="K49" s="82">
        <v>0</v>
      </c>
      <c r="L49" s="83">
        <v>0</v>
      </c>
      <c r="M49" s="85">
        <v>0</v>
      </c>
      <c r="N49" s="57"/>
      <c r="O49" s="116">
        <v>47</v>
      </c>
      <c r="P49" s="92">
        <v>1970</v>
      </c>
      <c r="Q49" s="88" t="s">
        <v>152</v>
      </c>
      <c r="R49" s="82">
        <v>0</v>
      </c>
      <c r="S49" s="82">
        <v>0</v>
      </c>
      <c r="T49" s="82">
        <v>0</v>
      </c>
      <c r="U49" s="83">
        <v>0</v>
      </c>
      <c r="V49" s="84"/>
      <c r="W49" s="82">
        <v>0</v>
      </c>
      <c r="X49" s="82">
        <v>0</v>
      </c>
      <c r="Y49" s="82">
        <v>0</v>
      </c>
      <c r="Z49" s="83">
        <v>0</v>
      </c>
      <c r="AA49" s="85">
        <v>0</v>
      </c>
      <c r="AB49" s="57"/>
      <c r="AC49" s="93">
        <v>47</v>
      </c>
      <c r="AD49" s="92">
        <v>1970</v>
      </c>
      <c r="AE49" s="88" t="s">
        <v>152</v>
      </c>
      <c r="AF49" s="82">
        <v>0</v>
      </c>
      <c r="AG49" s="82">
        <v>0</v>
      </c>
      <c r="AH49" s="82">
        <v>0</v>
      </c>
      <c r="AI49" s="83">
        <v>0</v>
      </c>
      <c r="AJ49" s="84"/>
      <c r="AK49" s="82">
        <v>0</v>
      </c>
      <c r="AL49" s="82">
        <v>0</v>
      </c>
      <c r="AM49" s="82">
        <v>0</v>
      </c>
      <c r="AN49" s="83">
        <v>0</v>
      </c>
      <c r="AO49" s="85">
        <v>0</v>
      </c>
      <c r="AP49" s="57"/>
      <c r="AQ49" s="116">
        <v>47</v>
      </c>
      <c r="AR49" s="92">
        <v>1970</v>
      </c>
      <c r="AS49" s="88" t="s">
        <v>152</v>
      </c>
      <c r="AT49" s="82">
        <v>0</v>
      </c>
      <c r="AU49" s="82">
        <v>0</v>
      </c>
      <c r="AV49" s="82">
        <v>0</v>
      </c>
      <c r="AW49" s="83">
        <v>0</v>
      </c>
      <c r="AX49" s="84"/>
      <c r="AY49" s="82">
        <v>0</v>
      </c>
      <c r="AZ49" s="82">
        <v>0</v>
      </c>
      <c r="BA49" s="82">
        <v>0</v>
      </c>
      <c r="BB49" s="83">
        <v>0</v>
      </c>
      <c r="BC49" s="85">
        <v>0</v>
      </c>
      <c r="BD49" s="57"/>
      <c r="BE49" s="93">
        <v>47</v>
      </c>
      <c r="BF49" s="92">
        <v>1970</v>
      </c>
      <c r="BG49" s="88" t="s">
        <v>152</v>
      </c>
      <c r="BH49" s="82">
        <v>0</v>
      </c>
      <c r="BI49" s="82">
        <v>0</v>
      </c>
      <c r="BJ49" s="82">
        <v>0</v>
      </c>
      <c r="BK49" s="83">
        <v>0</v>
      </c>
      <c r="BL49" s="84"/>
      <c r="BM49" s="82">
        <v>0</v>
      </c>
      <c r="BN49" s="82">
        <v>0</v>
      </c>
      <c r="BO49" s="82">
        <v>0</v>
      </c>
      <c r="BP49" s="83">
        <v>0</v>
      </c>
      <c r="BQ49" s="85">
        <v>0</v>
      </c>
    </row>
    <row r="50" spans="1:69" ht="38.25" x14ac:dyDescent="0.25">
      <c r="A50" s="62">
        <v>47</v>
      </c>
      <c r="B50" s="111">
        <v>1975</v>
      </c>
      <c r="C50" s="88" t="s">
        <v>153</v>
      </c>
      <c r="D50" s="82">
        <v>0</v>
      </c>
      <c r="E50" s="82">
        <v>0</v>
      </c>
      <c r="F50" s="82">
        <v>0</v>
      </c>
      <c r="G50" s="83">
        <v>0</v>
      </c>
      <c r="H50" s="84"/>
      <c r="I50" s="82">
        <v>0</v>
      </c>
      <c r="J50" s="82">
        <v>0</v>
      </c>
      <c r="K50" s="82">
        <v>0</v>
      </c>
      <c r="L50" s="83">
        <v>0</v>
      </c>
      <c r="M50" s="85">
        <v>0</v>
      </c>
      <c r="N50" s="57"/>
      <c r="O50" s="62">
        <v>47</v>
      </c>
      <c r="P50" s="111">
        <v>1975</v>
      </c>
      <c r="Q50" s="88" t="s">
        <v>153</v>
      </c>
      <c r="R50" s="82">
        <v>0</v>
      </c>
      <c r="S50" s="82">
        <v>0</v>
      </c>
      <c r="T50" s="82">
        <v>0</v>
      </c>
      <c r="U50" s="83">
        <v>0</v>
      </c>
      <c r="V50" s="84"/>
      <c r="W50" s="82">
        <v>0</v>
      </c>
      <c r="X50" s="82">
        <v>0</v>
      </c>
      <c r="Y50" s="82">
        <v>0</v>
      </c>
      <c r="Z50" s="83">
        <v>0</v>
      </c>
      <c r="AA50" s="85">
        <v>0</v>
      </c>
      <c r="AB50" s="57"/>
      <c r="AC50" s="62">
        <v>47</v>
      </c>
      <c r="AD50" s="111">
        <v>1975</v>
      </c>
      <c r="AE50" s="88" t="s">
        <v>153</v>
      </c>
      <c r="AF50" s="82">
        <v>0</v>
      </c>
      <c r="AG50" s="82">
        <v>0</v>
      </c>
      <c r="AH50" s="82">
        <v>0</v>
      </c>
      <c r="AI50" s="83">
        <v>0</v>
      </c>
      <c r="AJ50" s="84"/>
      <c r="AK50" s="82">
        <v>0</v>
      </c>
      <c r="AL50" s="82">
        <v>0</v>
      </c>
      <c r="AM50" s="82">
        <v>0</v>
      </c>
      <c r="AN50" s="83">
        <v>0</v>
      </c>
      <c r="AO50" s="85">
        <v>0</v>
      </c>
      <c r="AP50" s="57"/>
      <c r="AQ50" s="62">
        <v>47</v>
      </c>
      <c r="AR50" s="111">
        <v>1975</v>
      </c>
      <c r="AS50" s="88" t="s">
        <v>153</v>
      </c>
      <c r="AT50" s="82">
        <v>0</v>
      </c>
      <c r="AU50" s="82">
        <v>0</v>
      </c>
      <c r="AV50" s="82">
        <v>0</v>
      </c>
      <c r="AW50" s="83">
        <v>0</v>
      </c>
      <c r="AX50" s="84"/>
      <c r="AY50" s="82">
        <v>0</v>
      </c>
      <c r="AZ50" s="82">
        <v>0</v>
      </c>
      <c r="BA50" s="82">
        <v>0</v>
      </c>
      <c r="BB50" s="83">
        <v>0</v>
      </c>
      <c r="BC50" s="85">
        <v>0</v>
      </c>
      <c r="BD50" s="57"/>
      <c r="BE50" s="62">
        <v>47</v>
      </c>
      <c r="BF50" s="111">
        <v>1975</v>
      </c>
      <c r="BG50" s="88" t="s">
        <v>153</v>
      </c>
      <c r="BH50" s="82">
        <v>0</v>
      </c>
      <c r="BI50" s="82">
        <v>0</v>
      </c>
      <c r="BJ50" s="82">
        <v>0</v>
      </c>
      <c r="BK50" s="83">
        <v>0</v>
      </c>
      <c r="BL50" s="84"/>
      <c r="BM50" s="82">
        <v>0</v>
      </c>
      <c r="BN50" s="82">
        <v>0</v>
      </c>
      <c r="BO50" s="82">
        <v>0</v>
      </c>
      <c r="BP50" s="83">
        <v>0</v>
      </c>
      <c r="BQ50" s="85">
        <v>0</v>
      </c>
    </row>
    <row r="51" spans="1:69" ht="25.5" x14ac:dyDescent="0.25">
      <c r="A51" s="62">
        <v>47</v>
      </c>
      <c r="B51" s="111">
        <v>1980</v>
      </c>
      <c r="C51" s="88" t="s">
        <v>154</v>
      </c>
      <c r="D51" s="82">
        <v>495278.90999999992</v>
      </c>
      <c r="E51" s="82">
        <v>61318.51</v>
      </c>
      <c r="F51" s="82">
        <v>0</v>
      </c>
      <c r="G51" s="83">
        <v>556597.41999999993</v>
      </c>
      <c r="H51" s="84"/>
      <c r="I51" s="82">
        <v>-123886.95999999999</v>
      </c>
      <c r="J51" s="82">
        <v>-36319</v>
      </c>
      <c r="K51" s="82">
        <v>0</v>
      </c>
      <c r="L51" s="83">
        <v>-160205.96</v>
      </c>
      <c r="M51" s="85">
        <v>396391.45999999996</v>
      </c>
      <c r="N51" s="57"/>
      <c r="O51" s="62">
        <v>47</v>
      </c>
      <c r="P51" s="111">
        <v>1980</v>
      </c>
      <c r="Q51" s="88" t="s">
        <v>154</v>
      </c>
      <c r="R51" s="82">
        <v>556597.41999999993</v>
      </c>
      <c r="S51" s="82">
        <v>146837.08000000002</v>
      </c>
      <c r="T51" s="82">
        <v>0</v>
      </c>
      <c r="U51" s="83">
        <v>703434.5</v>
      </c>
      <c r="V51" s="84"/>
      <c r="W51" s="82">
        <v>-160205.96</v>
      </c>
      <c r="X51" s="82">
        <v>-42348.090000000004</v>
      </c>
      <c r="Y51" s="82">
        <v>0</v>
      </c>
      <c r="Z51" s="83">
        <v>-202554.05</v>
      </c>
      <c r="AA51" s="85">
        <v>500880.45</v>
      </c>
      <c r="AB51" s="57"/>
      <c r="AC51" s="62">
        <v>47</v>
      </c>
      <c r="AD51" s="111">
        <v>1980</v>
      </c>
      <c r="AE51" s="88" t="s">
        <v>154</v>
      </c>
      <c r="AF51" s="82">
        <v>703434.5</v>
      </c>
      <c r="AG51" s="82">
        <v>170725.57</v>
      </c>
      <c r="AH51" s="82">
        <v>0</v>
      </c>
      <c r="AI51" s="83">
        <v>874160.07000000007</v>
      </c>
      <c r="AJ51" s="84"/>
      <c r="AK51" s="82">
        <v>-202554.05</v>
      </c>
      <c r="AL51" s="82">
        <v>-52780.11</v>
      </c>
      <c r="AM51" s="82">
        <v>0</v>
      </c>
      <c r="AN51" s="83">
        <v>-255334.15999999997</v>
      </c>
      <c r="AO51" s="85">
        <v>618825.91000000015</v>
      </c>
      <c r="AP51" s="57"/>
      <c r="AQ51" s="62">
        <v>47</v>
      </c>
      <c r="AR51" s="111">
        <v>1980</v>
      </c>
      <c r="AS51" s="88" t="s">
        <v>154</v>
      </c>
      <c r="AT51" s="82">
        <v>874160.07000000007</v>
      </c>
      <c r="AU51" s="82">
        <v>89336.85</v>
      </c>
      <c r="AV51" s="82">
        <v>0</v>
      </c>
      <c r="AW51" s="83">
        <v>963496.92</v>
      </c>
      <c r="AX51" s="84"/>
      <c r="AY51" s="82">
        <v>-255334.15999999997</v>
      </c>
      <c r="AZ51" s="82">
        <v>-62511.934666666668</v>
      </c>
      <c r="BA51" s="82">
        <v>0</v>
      </c>
      <c r="BB51" s="83">
        <v>-317846.09466666664</v>
      </c>
      <c r="BC51" s="85">
        <v>645650.82533333334</v>
      </c>
      <c r="BD51" s="57"/>
      <c r="BE51" s="62">
        <v>47</v>
      </c>
      <c r="BF51" s="111">
        <v>1980</v>
      </c>
      <c r="BG51" s="88" t="s">
        <v>154</v>
      </c>
      <c r="BH51" s="82">
        <v>963496.92</v>
      </c>
      <c r="BI51" s="82">
        <v>77968</v>
      </c>
      <c r="BJ51" s="82">
        <v>0</v>
      </c>
      <c r="BK51" s="83">
        <v>1041464.92</v>
      </c>
      <c r="BL51" s="84"/>
      <c r="BM51" s="82">
        <v>-317846.09466666664</v>
      </c>
      <c r="BN51" s="82">
        <v>-68088.764666666684</v>
      </c>
      <c r="BO51" s="82">
        <v>0</v>
      </c>
      <c r="BP51" s="83">
        <v>-385934.85933333333</v>
      </c>
      <c r="BQ51" s="85">
        <v>655530.06066666672</v>
      </c>
    </row>
    <row r="52" spans="1:69" ht="25.5" x14ac:dyDescent="0.25">
      <c r="A52" s="62">
        <v>47</v>
      </c>
      <c r="B52" s="111">
        <v>1985</v>
      </c>
      <c r="C52" s="88" t="s">
        <v>155</v>
      </c>
      <c r="D52" s="82">
        <v>0</v>
      </c>
      <c r="E52" s="82">
        <v>0</v>
      </c>
      <c r="F52" s="82">
        <v>0</v>
      </c>
      <c r="G52" s="83">
        <v>0</v>
      </c>
      <c r="H52" s="84"/>
      <c r="I52" s="82">
        <v>0</v>
      </c>
      <c r="J52" s="82">
        <v>0</v>
      </c>
      <c r="K52" s="82">
        <v>0</v>
      </c>
      <c r="L52" s="83">
        <v>0</v>
      </c>
      <c r="M52" s="85">
        <v>0</v>
      </c>
      <c r="N52" s="57"/>
      <c r="O52" s="62">
        <v>47</v>
      </c>
      <c r="P52" s="111">
        <v>1985</v>
      </c>
      <c r="Q52" s="88" t="s">
        <v>155</v>
      </c>
      <c r="R52" s="82">
        <v>0</v>
      </c>
      <c r="S52" s="82">
        <v>0</v>
      </c>
      <c r="T52" s="82">
        <v>0</v>
      </c>
      <c r="U52" s="83">
        <v>0</v>
      </c>
      <c r="V52" s="84"/>
      <c r="W52" s="82">
        <v>0</v>
      </c>
      <c r="X52" s="82">
        <v>0</v>
      </c>
      <c r="Y52" s="82">
        <v>0</v>
      </c>
      <c r="Z52" s="83">
        <v>0</v>
      </c>
      <c r="AA52" s="85">
        <v>0</v>
      </c>
      <c r="AB52" s="57"/>
      <c r="AC52" s="62">
        <v>47</v>
      </c>
      <c r="AD52" s="111">
        <v>1985</v>
      </c>
      <c r="AE52" s="88" t="s">
        <v>155</v>
      </c>
      <c r="AF52" s="82">
        <v>0</v>
      </c>
      <c r="AG52" s="82">
        <v>0</v>
      </c>
      <c r="AH52" s="82">
        <v>0</v>
      </c>
      <c r="AI52" s="83">
        <v>0</v>
      </c>
      <c r="AJ52" s="84"/>
      <c r="AK52" s="82">
        <v>0</v>
      </c>
      <c r="AL52" s="82">
        <v>0</v>
      </c>
      <c r="AM52" s="82">
        <v>0</v>
      </c>
      <c r="AN52" s="83">
        <v>0</v>
      </c>
      <c r="AO52" s="85">
        <v>0</v>
      </c>
      <c r="AP52" s="57"/>
      <c r="AQ52" s="62">
        <v>47</v>
      </c>
      <c r="AR52" s="111">
        <v>1985</v>
      </c>
      <c r="AS52" s="88" t="s">
        <v>155</v>
      </c>
      <c r="AT52" s="82">
        <v>0</v>
      </c>
      <c r="AU52" s="82">
        <v>0</v>
      </c>
      <c r="AV52" s="82">
        <v>0</v>
      </c>
      <c r="AW52" s="83">
        <v>0</v>
      </c>
      <c r="AX52" s="84"/>
      <c r="AY52" s="82">
        <v>0</v>
      </c>
      <c r="AZ52" s="82">
        <v>0</v>
      </c>
      <c r="BA52" s="82">
        <v>0</v>
      </c>
      <c r="BB52" s="83">
        <v>0</v>
      </c>
      <c r="BC52" s="85">
        <v>0</v>
      </c>
      <c r="BD52" s="57"/>
      <c r="BE52" s="62">
        <v>47</v>
      </c>
      <c r="BF52" s="111">
        <v>1985</v>
      </c>
      <c r="BG52" s="88" t="s">
        <v>155</v>
      </c>
      <c r="BH52" s="82">
        <v>0</v>
      </c>
      <c r="BI52" s="82">
        <v>0</v>
      </c>
      <c r="BJ52" s="82">
        <v>0</v>
      </c>
      <c r="BK52" s="83">
        <v>0</v>
      </c>
      <c r="BL52" s="84"/>
      <c r="BM52" s="82">
        <v>0</v>
      </c>
      <c r="BN52" s="82">
        <v>0</v>
      </c>
      <c r="BO52" s="82">
        <v>0</v>
      </c>
      <c r="BP52" s="83">
        <v>0</v>
      </c>
      <c r="BQ52" s="85">
        <v>0</v>
      </c>
    </row>
    <row r="53" spans="1:69" x14ac:dyDescent="0.25">
      <c r="A53" s="93">
        <v>47</v>
      </c>
      <c r="B53" s="111">
        <v>1990</v>
      </c>
      <c r="C53" s="112" t="s">
        <v>156</v>
      </c>
      <c r="D53" s="82">
        <v>0</v>
      </c>
      <c r="E53" s="82">
        <v>0</v>
      </c>
      <c r="F53" s="82">
        <v>0</v>
      </c>
      <c r="G53" s="83">
        <v>0</v>
      </c>
      <c r="H53" s="84"/>
      <c r="I53" s="82">
        <v>0</v>
      </c>
      <c r="J53" s="82">
        <v>0</v>
      </c>
      <c r="K53" s="82">
        <v>0</v>
      </c>
      <c r="L53" s="83">
        <v>0</v>
      </c>
      <c r="M53" s="85">
        <v>0</v>
      </c>
      <c r="N53" s="57"/>
      <c r="O53" s="116">
        <v>47</v>
      </c>
      <c r="P53" s="111">
        <v>1990</v>
      </c>
      <c r="Q53" s="112" t="s">
        <v>156</v>
      </c>
      <c r="R53" s="82">
        <v>0</v>
      </c>
      <c r="S53" s="82">
        <v>0</v>
      </c>
      <c r="T53" s="82">
        <v>0</v>
      </c>
      <c r="U53" s="83">
        <v>0</v>
      </c>
      <c r="V53" s="84"/>
      <c r="W53" s="82">
        <v>0</v>
      </c>
      <c r="X53" s="82">
        <v>0</v>
      </c>
      <c r="Y53" s="82">
        <v>0</v>
      </c>
      <c r="Z53" s="83">
        <v>0</v>
      </c>
      <c r="AA53" s="85">
        <v>0</v>
      </c>
      <c r="AB53" s="57"/>
      <c r="AC53" s="93">
        <v>47</v>
      </c>
      <c r="AD53" s="111">
        <v>1990</v>
      </c>
      <c r="AE53" s="112" t="s">
        <v>156</v>
      </c>
      <c r="AF53" s="82">
        <v>0</v>
      </c>
      <c r="AG53" s="82">
        <v>0</v>
      </c>
      <c r="AH53" s="82">
        <v>0</v>
      </c>
      <c r="AI53" s="83">
        <v>0</v>
      </c>
      <c r="AJ53" s="84"/>
      <c r="AK53" s="82">
        <v>0</v>
      </c>
      <c r="AL53" s="82">
        <v>0</v>
      </c>
      <c r="AM53" s="82">
        <v>0</v>
      </c>
      <c r="AN53" s="83">
        <v>0</v>
      </c>
      <c r="AO53" s="85">
        <v>0</v>
      </c>
      <c r="AP53" s="57"/>
      <c r="AQ53" s="116">
        <v>47</v>
      </c>
      <c r="AR53" s="111">
        <v>1990</v>
      </c>
      <c r="AS53" s="112" t="s">
        <v>156</v>
      </c>
      <c r="AT53" s="82">
        <v>0</v>
      </c>
      <c r="AU53" s="82">
        <v>0</v>
      </c>
      <c r="AV53" s="82">
        <v>0</v>
      </c>
      <c r="AW53" s="83">
        <v>0</v>
      </c>
      <c r="AX53" s="84"/>
      <c r="AY53" s="82">
        <v>0</v>
      </c>
      <c r="AZ53" s="82">
        <v>0</v>
      </c>
      <c r="BA53" s="82">
        <v>0</v>
      </c>
      <c r="BB53" s="83">
        <v>0</v>
      </c>
      <c r="BC53" s="85">
        <v>0</v>
      </c>
      <c r="BD53" s="57"/>
      <c r="BE53" s="93">
        <v>47</v>
      </c>
      <c r="BF53" s="111">
        <v>1990</v>
      </c>
      <c r="BG53" s="112" t="s">
        <v>156</v>
      </c>
      <c r="BH53" s="82">
        <v>0</v>
      </c>
      <c r="BI53" s="82">
        <v>0</v>
      </c>
      <c r="BJ53" s="82">
        <v>0</v>
      </c>
      <c r="BK53" s="83">
        <v>0</v>
      </c>
      <c r="BL53" s="84"/>
      <c r="BM53" s="82">
        <v>0</v>
      </c>
      <c r="BN53" s="82">
        <v>0</v>
      </c>
      <c r="BO53" s="82">
        <v>0</v>
      </c>
      <c r="BP53" s="83">
        <v>0</v>
      </c>
      <c r="BQ53" s="85">
        <v>0</v>
      </c>
    </row>
    <row r="54" spans="1:69" x14ac:dyDescent="0.25">
      <c r="A54" s="62">
        <v>47</v>
      </c>
      <c r="B54" s="111">
        <v>1995</v>
      </c>
      <c r="C54" s="88" t="s">
        <v>157</v>
      </c>
      <c r="D54" s="82">
        <v>-4457123.87</v>
      </c>
      <c r="E54" s="82">
        <v>-713075.53</v>
      </c>
      <c r="F54" s="82">
        <v>0</v>
      </c>
      <c r="G54" s="83">
        <v>-5170199.4000000004</v>
      </c>
      <c r="H54" s="84"/>
      <c r="I54" s="82">
        <v>863068.86999999988</v>
      </c>
      <c r="J54" s="82">
        <v>110566</v>
      </c>
      <c r="K54" s="82">
        <v>0</v>
      </c>
      <c r="L54" s="83">
        <v>973634.86999999988</v>
      </c>
      <c r="M54" s="85">
        <v>-4196564.53</v>
      </c>
      <c r="N54" s="57"/>
      <c r="O54" s="62">
        <v>47</v>
      </c>
      <c r="P54" s="111">
        <v>1995</v>
      </c>
      <c r="Q54" s="88" t="s">
        <v>157</v>
      </c>
      <c r="R54" s="82">
        <v>-5170199.4000000004</v>
      </c>
      <c r="S54" s="82">
        <v>113270</v>
      </c>
      <c r="T54" s="82">
        <v>0</v>
      </c>
      <c r="U54" s="83">
        <v>-5056929.4000000004</v>
      </c>
      <c r="V54" s="84"/>
      <c r="W54" s="82">
        <v>973634.86999999988</v>
      </c>
      <c r="X54" s="82">
        <v>117804.47</v>
      </c>
      <c r="Y54" s="82">
        <v>0</v>
      </c>
      <c r="Z54" s="83">
        <v>1091439.3399999999</v>
      </c>
      <c r="AA54" s="85">
        <v>-3965490.0600000005</v>
      </c>
      <c r="AB54" s="57"/>
      <c r="AC54" s="62">
        <v>47</v>
      </c>
      <c r="AD54" s="111">
        <v>1995</v>
      </c>
      <c r="AE54" s="88" t="s">
        <v>157</v>
      </c>
      <c r="AF54" s="82">
        <v>-5056929.4000000004</v>
      </c>
      <c r="AG54" s="82">
        <v>0</v>
      </c>
      <c r="AH54" s="82">
        <v>0</v>
      </c>
      <c r="AI54" s="83">
        <v>-5056929.4000000004</v>
      </c>
      <c r="AJ54" s="84"/>
      <c r="AK54" s="82">
        <v>1091439.3399999999</v>
      </c>
      <c r="AL54" s="82">
        <v>116375.81000000001</v>
      </c>
      <c r="AM54" s="82">
        <v>0</v>
      </c>
      <c r="AN54" s="83">
        <v>1207815.1499999999</v>
      </c>
      <c r="AO54" s="85">
        <v>-3849114.2500000005</v>
      </c>
      <c r="AP54" s="57"/>
      <c r="AQ54" s="62">
        <v>47</v>
      </c>
      <c r="AR54" s="111">
        <v>1995</v>
      </c>
      <c r="AS54" s="88" t="s">
        <v>157</v>
      </c>
      <c r="AT54" s="82">
        <v>-5056929.4000000004</v>
      </c>
      <c r="AU54" s="82">
        <v>0</v>
      </c>
      <c r="AV54" s="82">
        <v>0</v>
      </c>
      <c r="AW54" s="83">
        <v>-5056929.4000000004</v>
      </c>
      <c r="AX54" s="84"/>
      <c r="AY54" s="82">
        <v>1207815.1499999999</v>
      </c>
      <c r="AZ54" s="82">
        <v>117508</v>
      </c>
      <c r="BA54" s="82">
        <v>0</v>
      </c>
      <c r="BB54" s="83">
        <v>1325323.1499999999</v>
      </c>
      <c r="BC54" s="85">
        <v>-3731606.2500000005</v>
      </c>
      <c r="BD54" s="57"/>
      <c r="BE54" s="62">
        <v>47</v>
      </c>
      <c r="BF54" s="111">
        <v>1995</v>
      </c>
      <c r="BG54" s="88" t="s">
        <v>157</v>
      </c>
      <c r="BH54" s="82">
        <v>-5056929.4000000004</v>
      </c>
      <c r="BI54" s="82">
        <v>0</v>
      </c>
      <c r="BJ54" s="82">
        <v>0</v>
      </c>
      <c r="BK54" s="83">
        <v>-5056929.4000000004</v>
      </c>
      <c r="BL54" s="84"/>
      <c r="BM54" s="82">
        <v>1325323.1499999999</v>
      </c>
      <c r="BN54" s="82">
        <v>117508</v>
      </c>
      <c r="BO54" s="82">
        <v>0</v>
      </c>
      <c r="BP54" s="83">
        <v>1442831.15</v>
      </c>
      <c r="BQ54" s="85">
        <v>-3614098.2500000005</v>
      </c>
    </row>
    <row r="55" spans="1:69" x14ac:dyDescent="0.25">
      <c r="A55" s="62">
        <v>47</v>
      </c>
      <c r="B55" s="111">
        <v>2440</v>
      </c>
      <c r="C55" s="88" t="s">
        <v>158</v>
      </c>
      <c r="D55" s="82">
        <v>0</v>
      </c>
      <c r="E55" s="82">
        <v>0</v>
      </c>
      <c r="F55" s="82">
        <v>0</v>
      </c>
      <c r="G55" s="83"/>
      <c r="H55" s="57"/>
      <c r="I55" s="82">
        <v>0</v>
      </c>
      <c r="J55" s="82">
        <v>0</v>
      </c>
      <c r="K55" s="82">
        <v>0</v>
      </c>
      <c r="L55" s="83"/>
      <c r="M55" s="85"/>
      <c r="N55" s="57"/>
      <c r="O55" s="62">
        <v>47</v>
      </c>
      <c r="P55" s="111">
        <v>2440</v>
      </c>
      <c r="Q55" s="88" t="s">
        <v>158</v>
      </c>
      <c r="R55" s="82">
        <v>0</v>
      </c>
      <c r="S55" s="82">
        <v>-445205.64999999997</v>
      </c>
      <c r="T55" s="82">
        <v>0</v>
      </c>
      <c r="U55" s="83">
        <v>-445205.64999999997</v>
      </c>
      <c r="V55" s="68"/>
      <c r="W55" s="82">
        <v>0</v>
      </c>
      <c r="X55" s="82">
        <v>5393.69</v>
      </c>
      <c r="Y55" s="82">
        <v>0</v>
      </c>
      <c r="Z55" s="83">
        <v>5393.69</v>
      </c>
      <c r="AA55" s="85">
        <v>-439811.95999999996</v>
      </c>
      <c r="AB55" s="57"/>
      <c r="AC55" s="62">
        <v>47</v>
      </c>
      <c r="AD55" s="111">
        <v>2440</v>
      </c>
      <c r="AE55" s="88" t="s">
        <v>158</v>
      </c>
      <c r="AF55" s="82">
        <v>-445205.64999999997</v>
      </c>
      <c r="AG55" s="82">
        <v>-308810.59999999998</v>
      </c>
      <c r="AH55" s="82">
        <v>0</v>
      </c>
      <c r="AI55" s="83">
        <v>-754016.25</v>
      </c>
      <c r="AJ55" s="68"/>
      <c r="AK55" s="82">
        <v>5393.69</v>
      </c>
      <c r="AL55" s="82">
        <v>14240.820000000002</v>
      </c>
      <c r="AM55" s="82">
        <v>0</v>
      </c>
      <c r="AN55" s="83">
        <v>19634.510000000002</v>
      </c>
      <c r="AO55" s="85">
        <v>-734381.74</v>
      </c>
      <c r="AP55" s="57"/>
      <c r="AQ55" s="62">
        <v>47</v>
      </c>
      <c r="AR55" s="111">
        <v>2440</v>
      </c>
      <c r="AS55" s="88" t="s">
        <v>158</v>
      </c>
      <c r="AT55" s="82">
        <v>-754016.25</v>
      </c>
      <c r="AU55" s="82">
        <v>-512884</v>
      </c>
      <c r="AV55" s="82">
        <v>0</v>
      </c>
      <c r="AW55" s="83">
        <v>-1266900.25</v>
      </c>
      <c r="AX55" s="68"/>
      <c r="AY55" s="82">
        <v>19634.510000000002</v>
      </c>
      <c r="AZ55" s="82">
        <v>24729.31</v>
      </c>
      <c r="BA55" s="82">
        <v>0</v>
      </c>
      <c r="BB55" s="83">
        <v>44363.820000000007</v>
      </c>
      <c r="BC55" s="85">
        <v>-1222536.43</v>
      </c>
      <c r="BD55" s="57"/>
      <c r="BE55" s="62">
        <v>47</v>
      </c>
      <c r="BF55" s="111">
        <v>2440</v>
      </c>
      <c r="BG55" s="88" t="s">
        <v>158</v>
      </c>
      <c r="BH55" s="82">
        <v>-1266900.25</v>
      </c>
      <c r="BI55" s="82">
        <v>-479000</v>
      </c>
      <c r="BJ55" s="82">
        <v>0</v>
      </c>
      <c r="BK55" s="83">
        <v>-1745900.25</v>
      </c>
      <c r="BL55" s="68"/>
      <c r="BM55" s="82">
        <v>44363.820000000007</v>
      </c>
      <c r="BN55" s="82">
        <v>37359</v>
      </c>
      <c r="BO55" s="82">
        <v>0</v>
      </c>
      <c r="BP55" s="83">
        <v>81722.820000000007</v>
      </c>
      <c r="BQ55" s="85">
        <v>-1664177.43</v>
      </c>
    </row>
    <row r="56" spans="1:69" x14ac:dyDescent="0.25">
      <c r="A56" s="94"/>
      <c r="B56" s="94"/>
      <c r="C56" s="95"/>
      <c r="D56" s="96"/>
      <c r="E56" s="96"/>
      <c r="F56" s="96"/>
      <c r="G56" s="83">
        <v>0</v>
      </c>
      <c r="H56" s="57"/>
      <c r="I56" s="96"/>
      <c r="J56" s="96"/>
      <c r="K56" s="96"/>
      <c r="L56" s="83">
        <v>0</v>
      </c>
      <c r="M56" s="85">
        <v>0</v>
      </c>
      <c r="N56" s="57"/>
      <c r="O56" s="94"/>
      <c r="P56" s="94"/>
      <c r="Q56" s="95"/>
      <c r="R56" s="96"/>
      <c r="S56" s="96"/>
      <c r="T56" s="96"/>
      <c r="U56" s="83">
        <v>0</v>
      </c>
      <c r="V56" s="68"/>
      <c r="W56" s="96"/>
      <c r="X56" s="96"/>
      <c r="Y56" s="96"/>
      <c r="Z56" s="83">
        <v>0</v>
      </c>
      <c r="AA56" s="85">
        <v>0</v>
      </c>
      <c r="AB56" s="57"/>
      <c r="AC56" s="94"/>
      <c r="AD56" s="94"/>
      <c r="AE56" s="95"/>
      <c r="AF56" s="96"/>
      <c r="AG56" s="96"/>
      <c r="AH56" s="96"/>
      <c r="AI56" s="83">
        <v>0</v>
      </c>
      <c r="AJ56" s="68"/>
      <c r="AK56" s="96"/>
      <c r="AL56" s="96"/>
      <c r="AM56" s="96"/>
      <c r="AN56" s="83">
        <v>0</v>
      </c>
      <c r="AO56" s="85">
        <v>0</v>
      </c>
      <c r="AP56" s="57"/>
      <c r="AQ56" s="94"/>
      <c r="AR56" s="94"/>
      <c r="AS56" s="95"/>
      <c r="AT56" s="96"/>
      <c r="AU56" s="96"/>
      <c r="AV56" s="96"/>
      <c r="AW56" s="83">
        <v>0</v>
      </c>
      <c r="AX56" s="68"/>
      <c r="AY56" s="96"/>
      <c r="AZ56" s="96"/>
      <c r="BA56" s="96"/>
      <c r="BB56" s="83">
        <v>0</v>
      </c>
      <c r="BC56" s="85">
        <v>0</v>
      </c>
      <c r="BD56" s="57"/>
      <c r="BE56" s="94"/>
      <c r="BF56" s="94"/>
      <c r="BG56" s="95"/>
      <c r="BH56" s="96"/>
      <c r="BI56" s="96"/>
      <c r="BJ56" s="96"/>
      <c r="BK56" s="83">
        <v>0</v>
      </c>
      <c r="BL56" s="68"/>
      <c r="BM56" s="96"/>
      <c r="BN56" s="96"/>
      <c r="BO56" s="96"/>
      <c r="BP56" s="83">
        <v>0</v>
      </c>
      <c r="BQ56" s="85">
        <v>0</v>
      </c>
    </row>
    <row r="57" spans="1:69" x14ac:dyDescent="0.25">
      <c r="A57" s="94"/>
      <c r="B57" s="94"/>
      <c r="C57" s="97" t="s">
        <v>25</v>
      </c>
      <c r="D57" s="98">
        <v>90915839.619999975</v>
      </c>
      <c r="E57" s="98">
        <v>2907857.7199999997</v>
      </c>
      <c r="F57" s="98">
        <v>-178723.91999999998</v>
      </c>
      <c r="G57" s="98">
        <v>93644973.420000002</v>
      </c>
      <c r="H57" s="98"/>
      <c r="I57" s="98">
        <v>-31620205.77</v>
      </c>
      <c r="J57" s="98">
        <v>-2677711.96</v>
      </c>
      <c r="K57" s="98">
        <v>178723.91999999998</v>
      </c>
      <c r="L57" s="98">
        <v>-34119193.809999995</v>
      </c>
      <c r="M57" s="98">
        <v>59525779.609999992</v>
      </c>
      <c r="N57" s="57"/>
      <c r="O57" s="94"/>
      <c r="P57" s="94"/>
      <c r="Q57" s="97" t="s">
        <v>25</v>
      </c>
      <c r="R57" s="98">
        <v>99018712.420000002</v>
      </c>
      <c r="S57" s="98">
        <v>2794243.9000000004</v>
      </c>
      <c r="T57" s="98">
        <v>-133906.10999999999</v>
      </c>
      <c r="U57" s="98">
        <v>101679050.20999996</v>
      </c>
      <c r="V57" s="98"/>
      <c r="W57" s="98">
        <v>-35488804.439999998</v>
      </c>
      <c r="X57" s="98">
        <v>-3150376.85</v>
      </c>
      <c r="Y57" s="98">
        <v>115130.87</v>
      </c>
      <c r="Z57" s="98">
        <v>-38524050.419999987</v>
      </c>
      <c r="AA57" s="98">
        <v>63154999.789999999</v>
      </c>
      <c r="AB57" s="57"/>
      <c r="AC57" s="94"/>
      <c r="AD57" s="94"/>
      <c r="AE57" s="97" t="s">
        <v>25</v>
      </c>
      <c r="AF57" s="98">
        <v>101679050.20999996</v>
      </c>
      <c r="AG57" s="98">
        <v>4111311.27</v>
      </c>
      <c r="AH57" s="98">
        <v>-222201.22</v>
      </c>
      <c r="AI57" s="98">
        <v>105568160.25999999</v>
      </c>
      <c r="AJ57" s="98"/>
      <c r="AK57" s="98">
        <v>-38524050.419999987</v>
      </c>
      <c r="AL57" s="98">
        <v>-3157480.7700000005</v>
      </c>
      <c r="AM57" s="98">
        <v>128955.59000000001</v>
      </c>
      <c r="AN57" s="98">
        <v>-41552575.600000009</v>
      </c>
      <c r="AO57" s="98">
        <v>64015584.659999974</v>
      </c>
      <c r="AP57" s="57"/>
      <c r="AQ57" s="94"/>
      <c r="AR57" s="94"/>
      <c r="AS57" s="97" t="s">
        <v>25</v>
      </c>
      <c r="AT57" s="98">
        <v>105568160.25999999</v>
      </c>
      <c r="AU57" s="98">
        <f>SUM(AU17:AU55)</f>
        <v>3596697.4600000004</v>
      </c>
      <c r="AV57" s="98">
        <v>-230000</v>
      </c>
      <c r="AW57" s="98">
        <v>108934857.72000001</v>
      </c>
      <c r="AX57" s="98"/>
      <c r="AY57" s="98">
        <v>-41552575.600000009</v>
      </c>
      <c r="AZ57" s="98">
        <v>-3286223.7056186539</v>
      </c>
      <c r="BA57" s="98">
        <v>130000</v>
      </c>
      <c r="BB57" s="98">
        <v>-44708799.305618666</v>
      </c>
      <c r="BC57" s="98">
        <v>64226058.414381333</v>
      </c>
      <c r="BD57" s="57"/>
      <c r="BE57" s="94"/>
      <c r="BF57" s="94"/>
      <c r="BG57" s="97" t="s">
        <v>25</v>
      </c>
      <c r="BH57" s="98">
        <v>108934857.72000001</v>
      </c>
      <c r="BI57" s="98">
        <v>3828988</v>
      </c>
      <c r="BJ57" s="98">
        <v>-230000</v>
      </c>
      <c r="BK57" s="98">
        <v>112533845.72000001</v>
      </c>
      <c r="BL57" s="98"/>
      <c r="BM57" s="98">
        <v>-44708799.305618666</v>
      </c>
      <c r="BN57" s="98">
        <v>-3503506.7217725003</v>
      </c>
      <c r="BO57" s="98">
        <v>130000</v>
      </c>
      <c r="BP57" s="98">
        <v>-48082306.027391165</v>
      </c>
      <c r="BQ57" s="98">
        <v>64451539.692608841</v>
      </c>
    </row>
    <row r="58" spans="1:69" ht="63" x14ac:dyDescent="0.25">
      <c r="A58" s="94"/>
      <c r="B58" s="94"/>
      <c r="C58" s="99" t="s">
        <v>159</v>
      </c>
      <c r="D58" s="96"/>
      <c r="E58" s="96"/>
      <c r="F58" s="96"/>
      <c r="G58" s="83">
        <v>0</v>
      </c>
      <c r="H58" s="57"/>
      <c r="I58" s="96"/>
      <c r="J58" s="96"/>
      <c r="K58" s="96"/>
      <c r="L58" s="83">
        <v>0</v>
      </c>
      <c r="M58" s="85">
        <v>0</v>
      </c>
      <c r="N58" s="57"/>
      <c r="O58" s="94"/>
      <c r="P58" s="94"/>
      <c r="Q58" s="99" t="s">
        <v>159</v>
      </c>
      <c r="R58" s="96"/>
      <c r="S58" s="96"/>
      <c r="T58" s="96"/>
      <c r="U58" s="83">
        <v>0</v>
      </c>
      <c r="V58" s="68"/>
      <c r="W58" s="96"/>
      <c r="X58" s="96"/>
      <c r="Y58" s="96"/>
      <c r="Z58" s="83">
        <v>0</v>
      </c>
      <c r="AA58" s="85">
        <v>0</v>
      </c>
      <c r="AB58" s="57"/>
      <c r="AC58" s="94"/>
      <c r="AD58" s="94"/>
      <c r="AE58" s="99" t="s">
        <v>159</v>
      </c>
      <c r="AF58" s="96"/>
      <c r="AG58" s="96"/>
      <c r="AH58" s="96"/>
      <c r="AI58" s="83">
        <v>0</v>
      </c>
      <c r="AJ58" s="68"/>
      <c r="AK58" s="96"/>
      <c r="AL58" s="96"/>
      <c r="AM58" s="96"/>
      <c r="AN58" s="83">
        <v>0</v>
      </c>
      <c r="AO58" s="85">
        <v>0</v>
      </c>
      <c r="AP58" s="57"/>
      <c r="AQ58" s="94"/>
      <c r="AR58" s="94"/>
      <c r="AS58" s="99" t="s">
        <v>159</v>
      </c>
      <c r="AT58" s="96"/>
      <c r="AU58" s="96"/>
      <c r="AV58" s="96"/>
      <c r="AW58" s="83">
        <v>0</v>
      </c>
      <c r="AX58" s="68"/>
      <c r="AY58" s="96"/>
      <c r="AZ58" s="96"/>
      <c r="BA58" s="96"/>
      <c r="BB58" s="83">
        <v>0</v>
      </c>
      <c r="BC58" s="85">
        <v>0</v>
      </c>
      <c r="BD58" s="57"/>
      <c r="BE58" s="94"/>
      <c r="BF58" s="94"/>
      <c r="BG58" s="99" t="s">
        <v>159</v>
      </c>
      <c r="BH58" s="96"/>
      <c r="BI58" s="96"/>
      <c r="BJ58" s="96"/>
      <c r="BK58" s="83">
        <v>0</v>
      </c>
      <c r="BL58" s="68"/>
      <c r="BM58" s="96"/>
      <c r="BN58" s="96"/>
      <c r="BO58" s="96"/>
      <c r="BP58" s="83">
        <v>0</v>
      </c>
      <c r="BQ58" s="85">
        <v>0</v>
      </c>
    </row>
    <row r="59" spans="1:69" ht="50.25" x14ac:dyDescent="0.25">
      <c r="A59" s="94"/>
      <c r="B59" s="94"/>
      <c r="C59" s="100" t="s">
        <v>160</v>
      </c>
      <c r="D59" s="96"/>
      <c r="E59" s="96"/>
      <c r="F59" s="96"/>
      <c r="G59" s="83">
        <v>0</v>
      </c>
      <c r="H59" s="57"/>
      <c r="I59" s="96"/>
      <c r="J59" s="96"/>
      <c r="K59" s="96"/>
      <c r="L59" s="83">
        <v>0</v>
      </c>
      <c r="M59" s="85">
        <v>0</v>
      </c>
      <c r="N59" s="57"/>
      <c r="O59" s="94"/>
      <c r="P59" s="94"/>
      <c r="Q59" s="100" t="s">
        <v>160</v>
      </c>
      <c r="R59" s="96"/>
      <c r="S59" s="96"/>
      <c r="T59" s="96"/>
      <c r="U59" s="83">
        <v>0</v>
      </c>
      <c r="V59" s="68"/>
      <c r="W59" s="96"/>
      <c r="X59" s="96"/>
      <c r="Y59" s="96"/>
      <c r="Z59" s="83">
        <v>0</v>
      </c>
      <c r="AA59" s="85">
        <v>0</v>
      </c>
      <c r="AB59" s="57"/>
      <c r="AC59" s="94"/>
      <c r="AD59" s="94"/>
      <c r="AE59" s="100" t="s">
        <v>160</v>
      </c>
      <c r="AF59" s="96"/>
      <c r="AG59" s="96"/>
      <c r="AH59" s="96"/>
      <c r="AI59" s="83">
        <v>0</v>
      </c>
      <c r="AJ59" s="68"/>
      <c r="AK59" s="96"/>
      <c r="AL59" s="96"/>
      <c r="AM59" s="96"/>
      <c r="AN59" s="83">
        <v>0</v>
      </c>
      <c r="AO59" s="85">
        <v>0</v>
      </c>
      <c r="AP59" s="57"/>
      <c r="AQ59" s="94"/>
      <c r="AR59" s="94"/>
      <c r="AS59" s="100" t="s">
        <v>160</v>
      </c>
      <c r="AT59" s="96"/>
      <c r="AU59" s="96"/>
      <c r="AV59" s="96"/>
      <c r="AW59" s="83">
        <v>0</v>
      </c>
      <c r="AX59" s="68"/>
      <c r="AY59" s="96"/>
      <c r="AZ59" s="96"/>
      <c r="BA59" s="96"/>
      <c r="BB59" s="83">
        <v>0</v>
      </c>
      <c r="BC59" s="85">
        <v>0</v>
      </c>
      <c r="BD59" s="57"/>
      <c r="BE59" s="94"/>
      <c r="BF59" s="94"/>
      <c r="BG59" s="100" t="s">
        <v>160</v>
      </c>
      <c r="BH59" s="96"/>
      <c r="BI59" s="96"/>
      <c r="BJ59" s="96"/>
      <c r="BK59" s="83">
        <v>0</v>
      </c>
      <c r="BL59" s="68"/>
      <c r="BM59" s="96"/>
      <c r="BN59" s="96"/>
      <c r="BO59" s="96"/>
      <c r="BP59" s="83">
        <v>0</v>
      </c>
      <c r="BQ59" s="85">
        <v>0</v>
      </c>
    </row>
    <row r="60" spans="1:69" x14ac:dyDescent="0.25">
      <c r="A60" s="94"/>
      <c r="B60" s="94"/>
      <c r="C60" s="97" t="s">
        <v>161</v>
      </c>
      <c r="D60" s="98">
        <v>90915839.619999975</v>
      </c>
      <c r="E60" s="98">
        <v>2907857.7199999997</v>
      </c>
      <c r="F60" s="98">
        <v>-178723.91999999998</v>
      </c>
      <c r="G60" s="98">
        <v>93644973.420000002</v>
      </c>
      <c r="H60" s="98"/>
      <c r="I60" s="98">
        <v>-31620205.77</v>
      </c>
      <c r="J60" s="98">
        <v>-2677711.96</v>
      </c>
      <c r="K60" s="98">
        <v>178723.91999999998</v>
      </c>
      <c r="L60" s="98">
        <v>-34119193.809999995</v>
      </c>
      <c r="M60" s="98">
        <v>59525779.609999992</v>
      </c>
      <c r="N60" s="57"/>
      <c r="O60" s="94"/>
      <c r="P60" s="94"/>
      <c r="Q60" s="97" t="s">
        <v>161</v>
      </c>
      <c r="R60" s="98">
        <v>99018712.420000002</v>
      </c>
      <c r="S60" s="98">
        <v>2794243.9000000004</v>
      </c>
      <c r="T60" s="98">
        <v>-133906.10999999999</v>
      </c>
      <c r="U60" s="98">
        <v>101679050.20999996</v>
      </c>
      <c r="V60" s="98"/>
      <c r="W60" s="98">
        <v>-35488804.439999998</v>
      </c>
      <c r="X60" s="98">
        <v>-3150376.85</v>
      </c>
      <c r="Y60" s="98">
        <v>115130.87</v>
      </c>
      <c r="Z60" s="98">
        <v>-38524050.419999987</v>
      </c>
      <c r="AA60" s="98">
        <v>63154999.789999999</v>
      </c>
      <c r="AB60" s="57"/>
      <c r="AC60" s="94"/>
      <c r="AD60" s="94"/>
      <c r="AE60" s="97" t="s">
        <v>161</v>
      </c>
      <c r="AF60" s="98">
        <v>101679050.20999996</v>
      </c>
      <c r="AG60" s="98">
        <v>4111311.27</v>
      </c>
      <c r="AH60" s="98">
        <v>-222201.22</v>
      </c>
      <c r="AI60" s="98">
        <v>105568160.25999999</v>
      </c>
      <c r="AJ60" s="98"/>
      <c r="AK60" s="98">
        <v>-38524050.419999987</v>
      </c>
      <c r="AL60" s="98">
        <v>-3157480.7700000005</v>
      </c>
      <c r="AM60" s="98">
        <v>128955.59000000001</v>
      </c>
      <c r="AN60" s="98">
        <v>-41552575.600000009</v>
      </c>
      <c r="AO60" s="98">
        <v>64015584.659999974</v>
      </c>
      <c r="AP60" s="57"/>
      <c r="AQ60" s="94"/>
      <c r="AR60" s="94"/>
      <c r="AS60" s="97" t="s">
        <v>161</v>
      </c>
      <c r="AT60" s="98">
        <v>105568160.25999999</v>
      </c>
      <c r="AU60" s="98">
        <v>3596697.4600000004</v>
      </c>
      <c r="AV60" s="98">
        <v>-230000</v>
      </c>
      <c r="AW60" s="98">
        <v>108934857.72000001</v>
      </c>
      <c r="AX60" s="98"/>
      <c r="AY60" s="98">
        <v>-41552575.600000009</v>
      </c>
      <c r="AZ60" s="98">
        <v>-3286223.7056186539</v>
      </c>
      <c r="BA60" s="98">
        <v>130000</v>
      </c>
      <c r="BB60" s="98">
        <v>-44708799.305618666</v>
      </c>
      <c r="BC60" s="98">
        <v>64226058.414381333</v>
      </c>
      <c r="BD60" s="57"/>
      <c r="BE60" s="94"/>
      <c r="BF60" s="94"/>
      <c r="BG60" s="97" t="s">
        <v>161</v>
      </c>
      <c r="BH60" s="98">
        <v>108934857.72000001</v>
      </c>
      <c r="BI60" s="98">
        <v>3828988</v>
      </c>
      <c r="BJ60" s="98">
        <v>-230000</v>
      </c>
      <c r="BK60" s="98">
        <v>112533845.72000001</v>
      </c>
      <c r="BL60" s="98"/>
      <c r="BM60" s="98">
        <v>-44708799.305618666</v>
      </c>
      <c r="BN60" s="98">
        <v>-3503506.7217725003</v>
      </c>
      <c r="BO60" s="98">
        <v>130000</v>
      </c>
      <c r="BP60" s="98">
        <v>-48082306.027391165</v>
      </c>
      <c r="BQ60" s="98">
        <v>64451539.692608841</v>
      </c>
    </row>
    <row r="61" spans="1:69" x14ac:dyDescent="0.25">
      <c r="A61" s="94"/>
      <c r="B61" s="94"/>
      <c r="C61" s="1073" t="s">
        <v>162</v>
      </c>
      <c r="D61" s="1074"/>
      <c r="E61" s="1074"/>
      <c r="F61" s="1074"/>
      <c r="G61" s="1074"/>
      <c r="H61" s="1074"/>
      <c r="I61" s="1075"/>
      <c r="J61" s="96"/>
      <c r="K61" s="101"/>
      <c r="L61" s="102"/>
      <c r="M61" s="103"/>
      <c r="N61" s="57"/>
      <c r="O61" s="94"/>
      <c r="P61" s="94"/>
      <c r="Q61" s="1073" t="s">
        <v>162</v>
      </c>
      <c r="R61" s="1074"/>
      <c r="S61" s="1074"/>
      <c r="T61" s="1074"/>
      <c r="U61" s="1074"/>
      <c r="V61" s="1074"/>
      <c r="W61" s="1075"/>
      <c r="X61" s="96"/>
      <c r="Y61" s="101"/>
      <c r="Z61" s="102"/>
      <c r="AA61" s="103"/>
      <c r="AB61" s="57"/>
      <c r="AC61" s="94"/>
      <c r="AD61" s="94"/>
      <c r="AE61" s="1073" t="s">
        <v>162</v>
      </c>
      <c r="AF61" s="1074"/>
      <c r="AG61" s="1074"/>
      <c r="AH61" s="1074"/>
      <c r="AI61" s="1074"/>
      <c r="AJ61" s="1074"/>
      <c r="AK61" s="1075"/>
      <c r="AL61" s="96"/>
      <c r="AM61" s="101"/>
      <c r="AN61" s="102"/>
      <c r="AO61" s="103"/>
      <c r="AP61" s="57"/>
      <c r="AQ61" s="94"/>
      <c r="AR61" s="94"/>
      <c r="AS61" s="1073" t="s">
        <v>162</v>
      </c>
      <c r="AT61" s="1074"/>
      <c r="AU61" s="1074"/>
      <c r="AV61" s="1074"/>
      <c r="AW61" s="1074"/>
      <c r="AX61" s="1074"/>
      <c r="AY61" s="1075"/>
      <c r="AZ61" s="96"/>
      <c r="BA61" s="101"/>
      <c r="BB61" s="102"/>
      <c r="BC61" s="103"/>
      <c r="BD61" s="57"/>
      <c r="BE61" s="94"/>
      <c r="BF61" s="94"/>
      <c r="BG61" s="1073" t="s">
        <v>162</v>
      </c>
      <c r="BH61" s="1074"/>
      <c r="BI61" s="1074"/>
      <c r="BJ61" s="1074"/>
      <c r="BK61" s="1074"/>
      <c r="BL61" s="1074"/>
      <c r="BM61" s="1075"/>
      <c r="BN61" s="110">
        <v>-100000</v>
      </c>
      <c r="BO61" s="101"/>
      <c r="BP61" s="102"/>
      <c r="BQ61" s="103"/>
    </row>
    <row r="62" spans="1:69" x14ac:dyDescent="0.25">
      <c r="A62" s="94"/>
      <c r="B62" s="94"/>
      <c r="C62" s="1073" t="s">
        <v>80</v>
      </c>
      <c r="D62" s="1074"/>
      <c r="E62" s="1074"/>
      <c r="F62" s="1074"/>
      <c r="G62" s="1074"/>
      <c r="H62" s="1074"/>
      <c r="I62" s="1075"/>
      <c r="J62" s="98">
        <v>-2677711.96</v>
      </c>
      <c r="K62" s="101"/>
      <c r="L62" s="102"/>
      <c r="M62" s="103"/>
      <c r="N62" s="57"/>
      <c r="O62" s="94"/>
      <c r="P62" s="94"/>
      <c r="Q62" s="1073" t="s">
        <v>80</v>
      </c>
      <c r="R62" s="1074"/>
      <c r="S62" s="1074"/>
      <c r="T62" s="1074"/>
      <c r="U62" s="1074"/>
      <c r="V62" s="1074"/>
      <c r="W62" s="1075"/>
      <c r="X62" s="98">
        <v>-3150376.85</v>
      </c>
      <c r="Y62" s="101"/>
      <c r="Z62" s="102"/>
      <c r="AA62" s="103"/>
      <c r="AB62" s="57"/>
      <c r="AC62" s="94"/>
      <c r="AD62" s="94"/>
      <c r="AE62" s="1073" t="s">
        <v>80</v>
      </c>
      <c r="AF62" s="1074"/>
      <c r="AG62" s="1074"/>
      <c r="AH62" s="1074"/>
      <c r="AI62" s="1074"/>
      <c r="AJ62" s="1074"/>
      <c r="AK62" s="1075"/>
      <c r="AL62" s="98">
        <v>-3157480.7700000005</v>
      </c>
      <c r="AM62" s="101"/>
      <c r="AN62" s="102"/>
      <c r="AO62" s="103"/>
      <c r="AP62" s="57"/>
      <c r="AQ62" s="94"/>
      <c r="AR62" s="94"/>
      <c r="AS62" s="1073" t="s">
        <v>80</v>
      </c>
      <c r="AT62" s="1074"/>
      <c r="AU62" s="1074"/>
      <c r="AV62" s="1074"/>
      <c r="AW62" s="1074"/>
      <c r="AX62" s="1074"/>
      <c r="AY62" s="1075"/>
      <c r="AZ62" s="98">
        <v>-3286223.7056186539</v>
      </c>
      <c r="BA62" s="101"/>
      <c r="BB62" s="102"/>
      <c r="BC62" s="103"/>
      <c r="BD62" s="57"/>
      <c r="BE62" s="94"/>
      <c r="BF62" s="94"/>
      <c r="BG62" s="1073" t="s">
        <v>80</v>
      </c>
      <c r="BH62" s="1074"/>
      <c r="BI62" s="1074"/>
      <c r="BJ62" s="1074"/>
      <c r="BK62" s="1074"/>
      <c r="BL62" s="1074"/>
      <c r="BM62" s="1075"/>
      <c r="BN62" s="98">
        <v>-3603506.7217725003</v>
      </c>
      <c r="BO62" s="101"/>
      <c r="BP62" s="102"/>
      <c r="BQ62" s="103"/>
    </row>
    <row r="63" spans="1:69" x14ac:dyDescent="0.25">
      <c r="A63" s="57"/>
      <c r="B63" s="57"/>
      <c r="C63" s="57"/>
      <c r="D63" s="57"/>
      <c r="E63" s="57"/>
      <c r="F63" s="57"/>
      <c r="G63" s="57"/>
      <c r="H63" s="57"/>
      <c r="I63" s="57"/>
      <c r="J63" s="57"/>
      <c r="K63" s="57"/>
      <c r="L63" s="57"/>
      <c r="M63" s="57"/>
      <c r="N63" s="57"/>
      <c r="O63" s="113"/>
      <c r="P63" s="113"/>
      <c r="Q63" s="57"/>
      <c r="R63" s="57"/>
      <c r="S63" s="57"/>
      <c r="T63" s="57"/>
      <c r="U63" s="57"/>
      <c r="V63" s="68"/>
      <c r="W63" s="57"/>
      <c r="X63" s="57"/>
      <c r="Y63" s="57"/>
      <c r="Z63" s="57"/>
      <c r="AA63" s="57"/>
      <c r="AB63" s="57"/>
      <c r="AC63" s="113"/>
      <c r="AD63" s="113"/>
      <c r="AE63" s="57"/>
      <c r="AF63" s="57"/>
      <c r="AG63" s="57"/>
      <c r="AH63" s="57"/>
      <c r="AI63" s="57"/>
      <c r="AJ63" s="68"/>
      <c r="AK63" s="57"/>
      <c r="AL63" s="57"/>
      <c r="AM63" s="57"/>
      <c r="AN63" s="57"/>
      <c r="AO63" s="57"/>
      <c r="AP63" s="57"/>
      <c r="AQ63" s="113"/>
      <c r="AR63" s="113"/>
      <c r="AS63" s="57"/>
      <c r="AT63" s="57"/>
      <c r="AU63" s="57"/>
      <c r="AV63" s="57"/>
      <c r="AW63" s="57"/>
      <c r="AX63" s="68"/>
      <c r="AY63" s="57"/>
      <c r="AZ63" s="57"/>
      <c r="BA63" s="57"/>
      <c r="BB63" s="57"/>
      <c r="BC63" s="57"/>
      <c r="BD63" s="57"/>
      <c r="BE63" s="113"/>
      <c r="BF63" s="113"/>
      <c r="BG63" s="57"/>
      <c r="BH63" s="57"/>
      <c r="BI63" s="57"/>
      <c r="BJ63" s="57"/>
      <c r="BK63" s="57"/>
      <c r="BL63" s="68"/>
      <c r="BM63" s="57"/>
      <c r="BN63" s="57"/>
      <c r="BO63" s="57"/>
      <c r="BP63" s="57"/>
      <c r="BQ63" s="57"/>
    </row>
    <row r="64" spans="1:69" x14ac:dyDescent="0.25">
      <c r="A64" s="57"/>
      <c r="B64" s="57"/>
      <c r="C64" s="57"/>
      <c r="D64" s="57"/>
      <c r="E64" s="57"/>
      <c r="F64" s="57"/>
      <c r="G64" s="57"/>
      <c r="H64" s="57"/>
      <c r="I64" s="104" t="s">
        <v>163</v>
      </c>
      <c r="J64" s="115"/>
      <c r="K64" s="57"/>
      <c r="L64" s="57"/>
      <c r="M64" s="57"/>
      <c r="N64" s="57"/>
      <c r="O64" s="113"/>
      <c r="P64" s="113"/>
      <c r="Q64" s="57"/>
      <c r="R64" s="57"/>
      <c r="S64" s="57"/>
      <c r="T64" s="57"/>
      <c r="U64" s="57"/>
      <c r="V64" s="68"/>
      <c r="W64" s="104" t="s">
        <v>163</v>
      </c>
      <c r="X64" s="115"/>
      <c r="Y64" s="57"/>
      <c r="Z64" s="57"/>
      <c r="AA64" s="57"/>
      <c r="AB64" s="57"/>
      <c r="AC64" s="113"/>
      <c r="AD64" s="113"/>
      <c r="AE64" s="57"/>
      <c r="AF64" s="57"/>
      <c r="AG64" s="57"/>
      <c r="AH64" s="57"/>
      <c r="AI64" s="57"/>
      <c r="AJ64" s="68"/>
      <c r="AK64" s="104" t="s">
        <v>163</v>
      </c>
      <c r="AL64" s="115"/>
      <c r="AM64" s="57"/>
      <c r="AN64" s="57"/>
      <c r="AO64" s="57"/>
      <c r="AP64" s="57"/>
      <c r="AQ64" s="113"/>
      <c r="AR64" s="113"/>
      <c r="AS64" s="57"/>
      <c r="AT64" s="57"/>
      <c r="AU64" s="57"/>
      <c r="AV64" s="57"/>
      <c r="AW64" s="57"/>
      <c r="AX64" s="68"/>
      <c r="AY64" s="104" t="s">
        <v>163</v>
      </c>
      <c r="AZ64" s="115"/>
      <c r="BA64" s="57"/>
      <c r="BB64" s="57"/>
      <c r="BC64" s="57"/>
      <c r="BD64" s="57"/>
      <c r="BE64" s="113"/>
      <c r="BF64" s="113"/>
      <c r="BG64" s="57"/>
      <c r="BH64" s="57"/>
      <c r="BI64" s="57"/>
      <c r="BJ64" s="57"/>
      <c r="BK64" s="57"/>
      <c r="BL64" s="68"/>
      <c r="BM64" s="104" t="s">
        <v>163</v>
      </c>
      <c r="BN64" s="115"/>
      <c r="BO64" s="57"/>
      <c r="BP64" s="57"/>
      <c r="BQ64" s="57"/>
    </row>
    <row r="65" spans="1:67" x14ac:dyDescent="0.25">
      <c r="A65" s="94">
        <v>10</v>
      </c>
      <c r="B65" s="94"/>
      <c r="C65" s="95" t="s">
        <v>164</v>
      </c>
      <c r="D65" s="57"/>
      <c r="E65" s="57"/>
      <c r="F65" s="57"/>
      <c r="G65" s="57"/>
      <c r="H65" s="57"/>
      <c r="I65" s="115" t="s">
        <v>164</v>
      </c>
      <c r="J65" s="115"/>
      <c r="K65" s="82">
        <v>-111200</v>
      </c>
      <c r="L65" s="57"/>
      <c r="M65" s="57"/>
      <c r="N65" s="57"/>
      <c r="O65" s="94">
        <v>10</v>
      </c>
      <c r="P65" s="94"/>
      <c r="Q65" s="95" t="s">
        <v>164</v>
      </c>
      <c r="R65" s="57"/>
      <c r="S65" s="57"/>
      <c r="T65" s="57"/>
      <c r="U65" s="57"/>
      <c r="V65" s="68"/>
      <c r="W65" s="115" t="s">
        <v>164</v>
      </c>
      <c r="X65" s="115"/>
      <c r="Y65" s="82">
        <v>-134271.92000000001</v>
      </c>
      <c r="Z65" s="57"/>
      <c r="AA65" s="57"/>
      <c r="AB65" s="57"/>
      <c r="AC65" s="94">
        <v>10</v>
      </c>
      <c r="AD65" s="94"/>
      <c r="AE65" s="95" t="s">
        <v>164</v>
      </c>
      <c r="AF65" s="57"/>
      <c r="AG65" s="57"/>
      <c r="AH65" s="57"/>
      <c r="AI65" s="57"/>
      <c r="AJ65" s="68"/>
      <c r="AK65" s="115" t="s">
        <v>164</v>
      </c>
      <c r="AL65" s="115"/>
      <c r="AM65" s="82">
        <v>-153396.91</v>
      </c>
      <c r="AN65" s="57"/>
      <c r="AO65" s="57"/>
      <c r="AP65" s="57"/>
      <c r="AQ65" s="94">
        <v>10</v>
      </c>
      <c r="AR65" s="94"/>
      <c r="AS65" s="95" t="s">
        <v>164</v>
      </c>
      <c r="AT65" s="57"/>
      <c r="AU65" s="57"/>
      <c r="AV65" s="57"/>
      <c r="AW65" s="57"/>
      <c r="AX65" s="68"/>
      <c r="AY65" s="115" t="s">
        <v>164</v>
      </c>
      <c r="AZ65" s="115"/>
      <c r="BA65" s="82">
        <v>-181300.70076923078</v>
      </c>
      <c r="BB65" s="57"/>
      <c r="BC65" s="57"/>
      <c r="BD65" s="57"/>
      <c r="BE65" s="94">
        <v>10</v>
      </c>
      <c r="BF65" s="94"/>
      <c r="BG65" s="95" t="s">
        <v>164</v>
      </c>
      <c r="BH65" s="57"/>
      <c r="BI65" s="57"/>
      <c r="BJ65" s="57"/>
      <c r="BK65" s="57"/>
      <c r="BL65" s="68"/>
      <c r="BM65" s="115" t="s">
        <v>164</v>
      </c>
      <c r="BN65" s="115"/>
      <c r="BO65" s="82">
        <v>-214427.54692307694</v>
      </c>
    </row>
    <row r="66" spans="1:67" x14ac:dyDescent="0.25">
      <c r="A66" s="94">
        <v>8</v>
      </c>
      <c r="B66" s="94"/>
      <c r="C66" s="95" t="s">
        <v>145</v>
      </c>
      <c r="D66" s="57"/>
      <c r="E66" s="57"/>
      <c r="F66" s="57"/>
      <c r="G66" s="57"/>
      <c r="H66" s="57"/>
      <c r="I66" s="115" t="s">
        <v>145</v>
      </c>
      <c r="J66" s="115"/>
      <c r="K66" s="82">
        <v>0</v>
      </c>
      <c r="L66" s="57"/>
      <c r="M66" s="57"/>
      <c r="N66" s="57"/>
      <c r="O66" s="94">
        <v>8</v>
      </c>
      <c r="P66" s="94"/>
      <c r="Q66" s="95" t="s">
        <v>145</v>
      </c>
      <c r="R66" s="57"/>
      <c r="S66" s="57"/>
      <c r="T66" s="57"/>
      <c r="U66" s="57"/>
      <c r="V66" s="68"/>
      <c r="W66" s="115" t="s">
        <v>145</v>
      </c>
      <c r="X66" s="115"/>
      <c r="Y66" s="82">
        <v>0</v>
      </c>
      <c r="Z66" s="57"/>
      <c r="AA66" s="57"/>
      <c r="AB66" s="57"/>
      <c r="AC66" s="94">
        <v>8</v>
      </c>
      <c r="AD66" s="94"/>
      <c r="AE66" s="95" t="s">
        <v>145</v>
      </c>
      <c r="AF66" s="57"/>
      <c r="AG66" s="57"/>
      <c r="AH66" s="57"/>
      <c r="AI66" s="57"/>
      <c r="AJ66" s="68"/>
      <c r="AK66" s="115" t="s">
        <v>145</v>
      </c>
      <c r="AL66" s="115"/>
      <c r="AM66" s="82">
        <v>0</v>
      </c>
      <c r="AN66" s="57"/>
      <c r="AO66" s="57"/>
      <c r="AP66" s="57"/>
      <c r="AQ66" s="94">
        <v>8</v>
      </c>
      <c r="AR66" s="94"/>
      <c r="AS66" s="95" t="s">
        <v>145</v>
      </c>
      <c r="AT66" s="57"/>
      <c r="AU66" s="57"/>
      <c r="AV66" s="57"/>
      <c r="AW66" s="57"/>
      <c r="AX66" s="68"/>
      <c r="AY66" s="115" t="s">
        <v>145</v>
      </c>
      <c r="AZ66" s="115"/>
      <c r="BA66" s="82">
        <v>0</v>
      </c>
      <c r="BB66" s="57"/>
      <c r="BC66" s="57"/>
      <c r="BD66" s="57"/>
      <c r="BE66" s="94">
        <v>8</v>
      </c>
      <c r="BF66" s="94"/>
      <c r="BG66" s="95" t="s">
        <v>145</v>
      </c>
      <c r="BH66" s="57"/>
      <c r="BI66" s="57"/>
      <c r="BJ66" s="57"/>
      <c r="BK66" s="57"/>
      <c r="BL66" s="68"/>
      <c r="BM66" s="115" t="s">
        <v>145</v>
      </c>
      <c r="BN66" s="115"/>
      <c r="BO66" s="82">
        <v>0</v>
      </c>
    </row>
    <row r="67" spans="1:67" x14ac:dyDescent="0.25">
      <c r="A67" s="57"/>
      <c r="B67" s="57"/>
      <c r="C67" s="57"/>
      <c r="D67" s="57"/>
      <c r="E67" s="57"/>
      <c r="F67" s="57"/>
      <c r="G67" s="57"/>
      <c r="H67" s="57"/>
      <c r="I67" s="105" t="s">
        <v>165</v>
      </c>
      <c r="J67" s="57"/>
      <c r="K67" s="106">
        <v>-2566511.96</v>
      </c>
      <c r="L67" s="57"/>
      <c r="M67" s="57"/>
      <c r="N67" s="57"/>
      <c r="O67" s="113"/>
      <c r="P67" s="113"/>
      <c r="Q67" s="57"/>
      <c r="R67" s="57"/>
      <c r="S67" s="57"/>
      <c r="T67" s="57"/>
      <c r="U67" s="57"/>
      <c r="V67" s="68"/>
      <c r="W67" s="105" t="s">
        <v>165</v>
      </c>
      <c r="X67" s="57"/>
      <c r="Y67" s="106">
        <v>-3016104.93</v>
      </c>
      <c r="Z67" s="57"/>
      <c r="AA67" s="57"/>
      <c r="AB67" s="57"/>
      <c r="AC67" s="113"/>
      <c r="AD67" s="113"/>
      <c r="AE67" s="57"/>
      <c r="AF67" s="57"/>
      <c r="AG67" s="57"/>
      <c r="AH67" s="57"/>
      <c r="AI67" s="57"/>
      <c r="AJ67" s="68"/>
      <c r="AK67" s="105" t="s">
        <v>165</v>
      </c>
      <c r="AL67" s="57"/>
      <c r="AM67" s="106">
        <v>-3004083.8600000003</v>
      </c>
      <c r="AN67" s="57"/>
      <c r="AO67" s="57"/>
      <c r="AP67" s="57"/>
      <c r="AQ67" s="113"/>
      <c r="AR67" s="113"/>
      <c r="AS67" s="57"/>
      <c r="AT67" s="57"/>
      <c r="AU67" s="57"/>
      <c r="AV67" s="57"/>
      <c r="AW67" s="57"/>
      <c r="AX67" s="68"/>
      <c r="AY67" s="105" t="s">
        <v>165</v>
      </c>
      <c r="AZ67" s="57"/>
      <c r="BA67" s="106">
        <v>-3104923.0048494232</v>
      </c>
      <c r="BB67" s="57"/>
      <c r="BC67" s="57"/>
      <c r="BD67" s="57"/>
      <c r="BE67" s="113"/>
      <c r="BF67" s="113"/>
      <c r="BG67" s="57"/>
      <c r="BH67" s="57"/>
      <c r="BI67" s="57"/>
      <c r="BJ67" s="57"/>
      <c r="BK67" s="57"/>
      <c r="BL67" s="68"/>
      <c r="BM67" s="105" t="s">
        <v>165</v>
      </c>
      <c r="BN67" s="57"/>
      <c r="BO67" s="106">
        <v>-3389079.1748494236</v>
      </c>
    </row>
    <row r="68" spans="1:67" x14ac:dyDescent="0.25">
      <c r="A68" s="57"/>
      <c r="B68" s="57"/>
      <c r="C68" s="57"/>
      <c r="D68" s="57"/>
      <c r="E68" s="57"/>
      <c r="F68" s="57"/>
      <c r="G68" s="57"/>
      <c r="H68" s="57"/>
      <c r="I68" s="57"/>
      <c r="J68" s="57"/>
      <c r="K68" s="57"/>
      <c r="L68" s="57"/>
      <c r="M68" s="57"/>
      <c r="N68" s="10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row>
    <row r="69" spans="1:67" x14ac:dyDescent="0.25">
      <c r="A69" s="108" t="s">
        <v>82</v>
      </c>
      <c r="B69" s="57"/>
      <c r="C69" s="57"/>
      <c r="D69" s="57"/>
      <c r="E69" s="57"/>
      <c r="F69" s="57"/>
      <c r="G69" s="57"/>
      <c r="H69" s="57"/>
      <c r="I69" s="57"/>
      <c r="J69" s="57"/>
      <c r="K69" s="57"/>
      <c r="L69" s="57"/>
      <c r="M69" s="57"/>
      <c r="N69" s="10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row>
    <row r="71" spans="1:67" x14ac:dyDescent="0.25">
      <c r="A71" s="113">
        <v>1</v>
      </c>
      <c r="B71" s="1076" t="s">
        <v>166</v>
      </c>
      <c r="C71" s="1076"/>
      <c r="D71" s="1076"/>
      <c r="E71" s="1076"/>
      <c r="F71" s="1076"/>
      <c r="G71" s="1076"/>
      <c r="H71" s="1076"/>
      <c r="I71" s="1076"/>
      <c r="J71" s="1076"/>
      <c r="K71" s="1076"/>
      <c r="L71" s="1076"/>
      <c r="M71" s="1076"/>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row>
    <row r="72" spans="1:67" x14ac:dyDescent="0.25">
      <c r="A72" s="57"/>
      <c r="B72" s="1076"/>
      <c r="C72" s="1076"/>
      <c r="D72" s="1076"/>
      <c r="E72" s="1076"/>
      <c r="F72" s="1076"/>
      <c r="G72" s="1076"/>
      <c r="H72" s="1076"/>
      <c r="I72" s="1076"/>
      <c r="J72" s="1076"/>
      <c r="K72" s="1076"/>
      <c r="L72" s="1076"/>
      <c r="M72" s="1076"/>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row>
    <row r="73" spans="1:67"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row>
    <row r="74" spans="1:67" x14ac:dyDescent="0.25">
      <c r="A74" s="113">
        <v>2</v>
      </c>
      <c r="B74" s="1068" t="s">
        <v>167</v>
      </c>
      <c r="C74" s="1068"/>
      <c r="D74" s="1068"/>
      <c r="E74" s="1068"/>
      <c r="F74" s="1068"/>
      <c r="G74" s="1068"/>
      <c r="H74" s="1068"/>
      <c r="I74" s="1068"/>
      <c r="J74" s="1068"/>
      <c r="K74" s="1068"/>
      <c r="L74" s="1068"/>
      <c r="M74" s="1068"/>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row>
    <row r="75" spans="1:67" x14ac:dyDescent="0.25">
      <c r="A75" s="57"/>
      <c r="B75" s="1068"/>
      <c r="C75" s="1068"/>
      <c r="D75" s="1068"/>
      <c r="E75" s="1068"/>
      <c r="F75" s="1068"/>
      <c r="G75" s="1068"/>
      <c r="H75" s="1068"/>
      <c r="I75" s="1068"/>
      <c r="J75" s="1068"/>
      <c r="K75" s="1068"/>
      <c r="L75" s="1068"/>
      <c r="M75" s="1068"/>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row>
    <row r="77" spans="1:67" x14ac:dyDescent="0.25">
      <c r="A77" s="113">
        <v>3</v>
      </c>
      <c r="B77" s="1067" t="s">
        <v>168</v>
      </c>
      <c r="C77" s="1067"/>
      <c r="D77" s="1067"/>
      <c r="E77" s="1067"/>
      <c r="F77" s="1067"/>
      <c r="G77" s="1067"/>
      <c r="H77" s="1067"/>
      <c r="I77" s="1067"/>
      <c r="J77" s="1067"/>
      <c r="K77" s="1067"/>
      <c r="L77" s="1067"/>
      <c r="M77" s="106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row>
    <row r="79" spans="1:67" x14ac:dyDescent="0.25">
      <c r="A79" s="113">
        <v>4</v>
      </c>
      <c r="B79" s="66" t="s">
        <v>169</v>
      </c>
      <c r="C79" s="63"/>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row>
    <row r="81" spans="1:13" x14ac:dyDescent="0.25">
      <c r="A81" s="113">
        <v>5</v>
      </c>
      <c r="B81" s="109" t="s">
        <v>170</v>
      </c>
      <c r="C81" s="57"/>
      <c r="D81" s="57"/>
      <c r="E81" s="57"/>
      <c r="F81" s="57"/>
      <c r="G81" s="57"/>
      <c r="H81" s="57"/>
      <c r="I81" s="57"/>
      <c r="J81" s="57"/>
      <c r="K81" s="57"/>
      <c r="L81" s="57"/>
      <c r="M81" s="57"/>
    </row>
    <row r="83" spans="1:13" x14ac:dyDescent="0.25">
      <c r="A83" s="113">
        <v>6</v>
      </c>
      <c r="B83" s="1067" t="s">
        <v>171</v>
      </c>
      <c r="C83" s="1067"/>
      <c r="D83" s="1067"/>
      <c r="E83" s="1067"/>
      <c r="F83" s="1067"/>
      <c r="G83" s="1067"/>
      <c r="H83" s="1067"/>
      <c r="I83" s="1067"/>
      <c r="J83" s="1067"/>
      <c r="K83" s="1067"/>
      <c r="L83" s="1067"/>
      <c r="M83" s="1067"/>
    </row>
    <row r="84" spans="1:13" x14ac:dyDescent="0.25">
      <c r="A84" s="57"/>
      <c r="B84" s="1067"/>
      <c r="C84" s="1067"/>
      <c r="D84" s="1067"/>
      <c r="E84" s="1067"/>
      <c r="F84" s="1067"/>
      <c r="G84" s="1067"/>
      <c r="H84" s="1067"/>
      <c r="I84" s="1067"/>
      <c r="J84" s="1067"/>
      <c r="K84" s="1067"/>
      <c r="L84" s="1067"/>
      <c r="M84" s="1067"/>
    </row>
  </sheetData>
  <customSheetViews>
    <customSheetView guid="{FEE3C04B-CD27-4551-A1CF-8272225D231B}">
      <selection activeCell="K92" sqref="K92"/>
      <pageMargins left="0.7" right="0.7" top="0.75" bottom="0.75" header="0.3" footer="0.3"/>
    </customSheetView>
    <customSheetView guid="{957A2981-C0FE-4A89-90AC-F40944F7258F}" topLeftCell="AS14">
      <selection activeCell="AU26" sqref="AU26"/>
      <pageMargins left="0.7" right="0.7" top="0.75" bottom="0.75" header="0.3" footer="0.3"/>
    </customSheetView>
    <customSheetView guid="{AE01795C-0F1A-4D22-B411-4CB1D681CFC8}">
      <selection activeCell="K92" sqref="K92"/>
      <pageMargins left="0.7" right="0.7" top="0.75" bottom="0.75" header="0.3" footer="0.3"/>
    </customSheetView>
  </customSheetViews>
  <mergeCells count="29">
    <mergeCell ref="Q62:W62"/>
    <mergeCell ref="AE62:AK62"/>
    <mergeCell ref="AS62:AY62"/>
    <mergeCell ref="BG62:BM62"/>
    <mergeCell ref="R15:U15"/>
    <mergeCell ref="AF15:AI15"/>
    <mergeCell ref="AT15:AW15"/>
    <mergeCell ref="BH15:BK15"/>
    <mergeCell ref="Q61:W61"/>
    <mergeCell ref="AE61:AK61"/>
    <mergeCell ref="AS61:AY61"/>
    <mergeCell ref="BG61:BM61"/>
    <mergeCell ref="O9:AA9"/>
    <mergeCell ref="AC9:AO9"/>
    <mergeCell ref="AQ9:BC9"/>
    <mergeCell ref="BE9:BQ9"/>
    <mergeCell ref="O10:AA10"/>
    <mergeCell ref="AC10:AO10"/>
    <mergeCell ref="AQ10:BC10"/>
    <mergeCell ref="BE10:BQ10"/>
    <mergeCell ref="B83:M84"/>
    <mergeCell ref="B74:M75"/>
    <mergeCell ref="B77:M77"/>
    <mergeCell ref="A9:M9"/>
    <mergeCell ref="A10:M10"/>
    <mergeCell ref="D15:G15"/>
    <mergeCell ref="C61:I61"/>
    <mergeCell ref="C62:I62"/>
    <mergeCell ref="B71:M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C40" workbookViewId="0">
      <selection activeCell="L61" sqref="L61"/>
    </sheetView>
  </sheetViews>
  <sheetFormatPr defaultRowHeight="15" x14ac:dyDescent="0.25"/>
  <cols>
    <col min="2" max="2" width="74.85546875" bestFit="1" customWidth="1"/>
    <col min="3" max="4" width="11.28515625" customWidth="1"/>
    <col min="5" max="5" width="12.5703125" customWidth="1"/>
    <col min="6" max="6" width="15.42578125" customWidth="1"/>
    <col min="7" max="7" width="14.5703125" customWidth="1"/>
    <col min="8" max="8" width="12.7109375" customWidth="1"/>
    <col min="9" max="9" width="12.42578125" customWidth="1"/>
    <col min="10" max="10" width="15.140625" customWidth="1"/>
    <col min="11" max="11" width="21.28515625" customWidth="1"/>
  </cols>
  <sheetData>
    <row r="1" spans="1:11" x14ac:dyDescent="0.25">
      <c r="A1" s="117"/>
      <c r="B1" s="117"/>
      <c r="C1" s="124"/>
      <c r="D1" s="123"/>
      <c r="E1" s="124"/>
      <c r="F1" s="124"/>
      <c r="G1" s="122" t="s">
        <v>0</v>
      </c>
      <c r="H1" s="121">
        <v>0</v>
      </c>
      <c r="I1" s="117"/>
      <c r="J1" s="124"/>
      <c r="K1" s="117"/>
    </row>
    <row r="2" spans="1:11" x14ac:dyDescent="0.25">
      <c r="A2" s="117"/>
      <c r="B2" s="117"/>
      <c r="C2" s="124"/>
      <c r="D2" s="123"/>
      <c r="E2" s="124"/>
      <c r="F2" s="124"/>
      <c r="G2" s="122" t="s">
        <v>1</v>
      </c>
      <c r="H2" s="118"/>
      <c r="I2" s="117"/>
      <c r="J2" s="124"/>
      <c r="K2" s="117"/>
    </row>
    <row r="3" spans="1:11" x14ac:dyDescent="0.25">
      <c r="A3" s="117"/>
      <c r="B3" s="117"/>
      <c r="C3" s="124"/>
      <c r="D3" s="123"/>
      <c r="E3" s="124"/>
      <c r="F3" s="124"/>
      <c r="G3" s="122" t="s">
        <v>2</v>
      </c>
      <c r="H3" s="118"/>
      <c r="I3" s="117"/>
      <c r="J3" s="124"/>
      <c r="K3" s="117"/>
    </row>
    <row r="4" spans="1:11" x14ac:dyDescent="0.25">
      <c r="A4" s="117"/>
      <c r="B4" s="117"/>
      <c r="C4" s="124"/>
      <c r="D4" s="123"/>
      <c r="E4" s="124"/>
      <c r="F4" s="124"/>
      <c r="G4" s="122" t="s">
        <v>3</v>
      </c>
      <c r="H4" s="118"/>
      <c r="I4" s="117"/>
      <c r="J4" s="124"/>
      <c r="K4" s="117"/>
    </row>
    <row r="5" spans="1:11" x14ac:dyDescent="0.25">
      <c r="A5" s="117"/>
      <c r="B5" s="117"/>
      <c r="C5" s="124"/>
      <c r="D5" s="123"/>
      <c r="E5" s="124"/>
      <c r="F5" s="124"/>
      <c r="G5" s="122" t="s">
        <v>4</v>
      </c>
      <c r="H5" s="119"/>
      <c r="I5" s="117"/>
      <c r="J5" s="124"/>
      <c r="K5" s="117"/>
    </row>
    <row r="6" spans="1:11" x14ac:dyDescent="0.25">
      <c r="A6" s="117"/>
      <c r="B6" s="117"/>
      <c r="C6" s="124"/>
      <c r="D6" s="123"/>
      <c r="E6" s="124"/>
      <c r="F6" s="124"/>
      <c r="G6" s="122"/>
      <c r="H6" s="176"/>
      <c r="I6" s="117"/>
      <c r="J6" s="124"/>
      <c r="K6" s="117"/>
    </row>
    <row r="7" spans="1:11" x14ac:dyDescent="0.25">
      <c r="A7" s="117"/>
      <c r="B7" s="117"/>
      <c r="C7" s="124"/>
      <c r="D7" s="123"/>
      <c r="E7" s="124"/>
      <c r="F7" s="124"/>
      <c r="G7" s="122" t="s">
        <v>5</v>
      </c>
      <c r="H7" s="119"/>
      <c r="I7" s="117"/>
      <c r="J7" s="131"/>
      <c r="K7" s="117"/>
    </row>
    <row r="9" spans="1:11" ht="18" x14ac:dyDescent="0.25">
      <c r="A9" s="1079" t="s">
        <v>188</v>
      </c>
      <c r="B9" s="1079"/>
      <c r="C9" s="1079"/>
      <c r="D9" s="1079"/>
      <c r="E9" s="1079"/>
      <c r="F9" s="1079"/>
      <c r="G9" s="1079"/>
      <c r="H9" s="1079"/>
      <c r="I9" s="165"/>
      <c r="J9" s="117"/>
      <c r="K9" s="117"/>
    </row>
    <row r="10" spans="1:11" ht="18" x14ac:dyDescent="0.25">
      <c r="A10" s="1079" t="s">
        <v>172</v>
      </c>
      <c r="B10" s="1079"/>
      <c r="C10" s="1079"/>
      <c r="D10" s="1079"/>
      <c r="E10" s="1079"/>
      <c r="F10" s="1079"/>
      <c r="G10" s="1079"/>
      <c r="H10" s="1079"/>
      <c r="I10" s="1079"/>
      <c r="J10" s="117"/>
      <c r="K10" s="117"/>
    </row>
    <row r="11" spans="1:11" ht="30.75" customHeight="1" x14ac:dyDescent="0.25">
      <c r="A11" s="1080" t="s">
        <v>173</v>
      </c>
      <c r="B11" s="1080"/>
      <c r="C11" s="1080"/>
      <c r="D11" s="1080"/>
      <c r="E11" s="1080"/>
      <c r="F11" s="1080"/>
      <c r="G11" s="1080"/>
      <c r="H11" s="1080"/>
      <c r="I11" s="151"/>
      <c r="J11" s="151"/>
      <c r="K11" s="166"/>
    </row>
    <row r="12" spans="1:11" x14ac:dyDescent="0.25">
      <c r="A12" s="175"/>
      <c r="B12" s="175"/>
      <c r="C12" s="175"/>
      <c r="D12" s="175"/>
      <c r="E12" s="175"/>
      <c r="F12" s="175"/>
      <c r="G12" s="175"/>
      <c r="H12" s="175"/>
      <c r="I12" s="151"/>
      <c r="J12" s="151"/>
      <c r="K12" s="166"/>
    </row>
    <row r="13" spans="1:11" ht="18" x14ac:dyDescent="0.25">
      <c r="A13" s="169"/>
      <c r="B13" s="117"/>
      <c r="C13" s="117"/>
      <c r="D13" s="142">
        <v>2016</v>
      </c>
      <c r="E13" s="167" t="s">
        <v>13</v>
      </c>
      <c r="F13" s="167"/>
      <c r="G13" s="167"/>
      <c r="H13" s="167"/>
      <c r="I13" s="117"/>
      <c r="J13" s="117"/>
      <c r="K13" s="117"/>
    </row>
    <row r="14" spans="1:11" ht="15.75" thickBot="1" x14ac:dyDescent="0.3">
      <c r="A14" s="117"/>
      <c r="B14" s="117"/>
      <c r="C14" s="117"/>
      <c r="D14" s="117"/>
      <c r="E14" s="117"/>
      <c r="F14" s="117"/>
      <c r="G14" s="117"/>
      <c r="H14" s="117"/>
      <c r="I14" s="117"/>
      <c r="J14" s="117"/>
      <c r="K14" s="117"/>
    </row>
    <row r="15" spans="1:11" ht="63.75" x14ac:dyDescent="0.25">
      <c r="A15" s="157" t="s">
        <v>174</v>
      </c>
      <c r="B15" s="1081" t="s">
        <v>175</v>
      </c>
      <c r="C15" s="132" t="s">
        <v>118</v>
      </c>
      <c r="D15" s="132" t="s">
        <v>189</v>
      </c>
      <c r="E15" s="132" t="s">
        <v>176</v>
      </c>
      <c r="F15" s="143" t="s">
        <v>190</v>
      </c>
      <c r="G15" s="1077" t="s">
        <v>191</v>
      </c>
      <c r="H15" s="143" t="s">
        <v>177</v>
      </c>
      <c r="I15" s="143" t="s">
        <v>192</v>
      </c>
      <c r="J15" s="1077" t="s">
        <v>178</v>
      </c>
      <c r="K15" s="143" t="s">
        <v>193</v>
      </c>
    </row>
    <row r="16" spans="1:11" ht="52.5" thickBot="1" x14ac:dyDescent="0.3">
      <c r="A16" s="158"/>
      <c r="B16" s="1082"/>
      <c r="C16" s="144" t="s">
        <v>179</v>
      </c>
      <c r="D16" s="144" t="s">
        <v>180</v>
      </c>
      <c r="E16" s="144" t="s">
        <v>181</v>
      </c>
      <c r="F16" s="152" t="s">
        <v>194</v>
      </c>
      <c r="G16" s="1083"/>
      <c r="H16" s="145" t="s">
        <v>195</v>
      </c>
      <c r="I16" s="145" t="s">
        <v>196</v>
      </c>
      <c r="J16" s="1078"/>
      <c r="K16" s="153" t="s">
        <v>197</v>
      </c>
    </row>
    <row r="17" spans="1:11" x14ac:dyDescent="0.25">
      <c r="A17" s="159">
        <v>1611</v>
      </c>
      <c r="B17" s="160" t="s">
        <v>120</v>
      </c>
      <c r="C17" s="126">
        <v>886595</v>
      </c>
      <c r="D17" s="168">
        <v>5</v>
      </c>
      <c r="E17" s="161">
        <v>0.2</v>
      </c>
      <c r="F17" s="130">
        <v>209709.12</v>
      </c>
      <c r="G17" s="126">
        <v>202859.40000000002</v>
      </c>
      <c r="H17" s="190">
        <f t="shared" ref="H17:H54" si="0">IF(ISERROR(+F17-G17), 0, +F17-G17)</f>
        <v>6849.7199999999721</v>
      </c>
      <c r="I17" s="190">
        <f>IF(D17=0,0,+(C17)/D17)</f>
        <v>177319</v>
      </c>
      <c r="J17" s="126">
        <v>39427</v>
      </c>
      <c r="K17" s="190">
        <v>258941.62</v>
      </c>
    </row>
    <row r="18" spans="1:11" x14ac:dyDescent="0.25">
      <c r="A18" s="173">
        <v>1612</v>
      </c>
      <c r="B18" s="125" t="s">
        <v>122</v>
      </c>
      <c r="C18" s="126">
        <v>0</v>
      </c>
      <c r="D18" s="168">
        <v>0</v>
      </c>
      <c r="E18" s="133">
        <v>0</v>
      </c>
      <c r="F18" s="130">
        <v>2034.5000000000002</v>
      </c>
      <c r="G18" s="126">
        <v>2034.5</v>
      </c>
      <c r="H18" s="190">
        <f t="shared" si="0"/>
        <v>2.2737367544323206E-13</v>
      </c>
      <c r="I18" s="190">
        <f t="shared" ref="I18:I54" si="1">IF(D18=0,0,+(C18)/D18)</f>
        <v>0</v>
      </c>
      <c r="J18" s="126">
        <v>0</v>
      </c>
      <c r="K18" s="190">
        <v>2034.5000000000002</v>
      </c>
    </row>
    <row r="19" spans="1:11" x14ac:dyDescent="0.25">
      <c r="A19" s="134">
        <v>1805</v>
      </c>
      <c r="B19" s="127" t="s">
        <v>124</v>
      </c>
      <c r="C19" s="126">
        <v>0</v>
      </c>
      <c r="D19" s="168">
        <v>0</v>
      </c>
      <c r="E19" s="133">
        <v>0</v>
      </c>
      <c r="F19" s="130">
        <v>0</v>
      </c>
      <c r="G19" s="126">
        <v>0</v>
      </c>
      <c r="H19" s="190">
        <f t="shared" si="0"/>
        <v>0</v>
      </c>
      <c r="I19" s="190">
        <f t="shared" si="1"/>
        <v>0</v>
      </c>
      <c r="J19" s="126">
        <v>0</v>
      </c>
      <c r="K19" s="190">
        <v>0</v>
      </c>
    </row>
    <row r="20" spans="1:11" x14ac:dyDescent="0.25">
      <c r="A20" s="173">
        <v>1808</v>
      </c>
      <c r="B20" s="128" t="s">
        <v>125</v>
      </c>
      <c r="C20" s="126">
        <v>0</v>
      </c>
      <c r="D20" s="168">
        <v>0</v>
      </c>
      <c r="E20" s="133">
        <v>0</v>
      </c>
      <c r="F20" s="130">
        <v>27623.999999999996</v>
      </c>
      <c r="G20" s="126">
        <v>27623</v>
      </c>
      <c r="H20" s="190">
        <f t="shared" si="0"/>
        <v>0.99999999999636202</v>
      </c>
      <c r="I20" s="190">
        <f t="shared" si="1"/>
        <v>0</v>
      </c>
      <c r="J20" s="126">
        <v>0</v>
      </c>
      <c r="K20" s="190">
        <v>27623.999999999996</v>
      </c>
    </row>
    <row r="21" spans="1:11" x14ac:dyDescent="0.25">
      <c r="A21" s="173">
        <v>1810</v>
      </c>
      <c r="B21" s="128" t="s">
        <v>126</v>
      </c>
      <c r="C21" s="126">
        <v>0</v>
      </c>
      <c r="D21" s="168">
        <v>0</v>
      </c>
      <c r="E21" s="133">
        <v>0</v>
      </c>
      <c r="F21" s="130">
        <v>0</v>
      </c>
      <c r="G21" s="126">
        <v>0</v>
      </c>
      <c r="H21" s="190">
        <f t="shared" si="0"/>
        <v>0</v>
      </c>
      <c r="I21" s="190">
        <f t="shared" si="1"/>
        <v>0</v>
      </c>
      <c r="J21" s="126">
        <v>0</v>
      </c>
      <c r="K21" s="190">
        <v>0</v>
      </c>
    </row>
    <row r="22" spans="1:11" x14ac:dyDescent="0.25">
      <c r="A22" s="173">
        <v>1815</v>
      </c>
      <c r="B22" s="128" t="s">
        <v>127</v>
      </c>
      <c r="C22" s="126">
        <v>0</v>
      </c>
      <c r="D22" s="168">
        <v>0</v>
      </c>
      <c r="E22" s="133">
        <v>0</v>
      </c>
      <c r="F22" s="130">
        <v>121190.07333333333</v>
      </c>
      <c r="G22" s="126">
        <v>113604.38222222222</v>
      </c>
      <c r="H22" s="190">
        <f t="shared" si="0"/>
        <v>7585.6911111111112</v>
      </c>
      <c r="I22" s="190">
        <f t="shared" si="1"/>
        <v>0</v>
      </c>
      <c r="J22" s="126">
        <v>0</v>
      </c>
      <c r="K22" s="190">
        <v>121190.07333333333</v>
      </c>
    </row>
    <row r="23" spans="1:11" x14ac:dyDescent="0.25">
      <c r="A23" s="173">
        <v>1820</v>
      </c>
      <c r="B23" s="125" t="s">
        <v>128</v>
      </c>
      <c r="C23" s="126">
        <v>0</v>
      </c>
      <c r="D23" s="168">
        <v>0</v>
      </c>
      <c r="E23" s="133">
        <v>0</v>
      </c>
      <c r="F23" s="130">
        <v>-38995.504333333338</v>
      </c>
      <c r="G23" s="126">
        <v>212</v>
      </c>
      <c r="H23" s="190">
        <f t="shared" si="0"/>
        <v>-39207.504333333338</v>
      </c>
      <c r="I23" s="190">
        <f t="shared" si="1"/>
        <v>0</v>
      </c>
      <c r="J23" s="126">
        <v>0</v>
      </c>
      <c r="K23" s="190">
        <v>-38995.504333333338</v>
      </c>
    </row>
    <row r="24" spans="1:11" x14ac:dyDescent="0.25">
      <c r="A24" s="173">
        <v>1825</v>
      </c>
      <c r="B24" s="128" t="s">
        <v>129</v>
      </c>
      <c r="C24" s="126">
        <v>0</v>
      </c>
      <c r="D24" s="168">
        <v>0</v>
      </c>
      <c r="E24" s="133">
        <v>0</v>
      </c>
      <c r="F24" s="130">
        <v>0</v>
      </c>
      <c r="G24" s="126">
        <v>0</v>
      </c>
      <c r="H24" s="190">
        <f t="shared" si="0"/>
        <v>0</v>
      </c>
      <c r="I24" s="190">
        <f t="shared" si="1"/>
        <v>0</v>
      </c>
      <c r="J24" s="126">
        <v>0</v>
      </c>
      <c r="K24" s="190">
        <v>0</v>
      </c>
    </row>
    <row r="25" spans="1:11" x14ac:dyDescent="0.25">
      <c r="A25" s="173">
        <v>1830</v>
      </c>
      <c r="B25" s="128" t="s">
        <v>130</v>
      </c>
      <c r="C25" s="126">
        <v>217020.57</v>
      </c>
      <c r="D25" s="168">
        <v>27.04</v>
      </c>
      <c r="E25" s="133">
        <v>3.6982248520710061E-2</v>
      </c>
      <c r="F25" s="130">
        <v>423523.31261162175</v>
      </c>
      <c r="G25" s="126">
        <v>386588.917166667</v>
      </c>
      <c r="H25" s="190">
        <f t="shared" si="0"/>
        <v>36934.395444954745</v>
      </c>
      <c r="I25" s="190">
        <f t="shared" si="1"/>
        <v>8025.9086538461543</v>
      </c>
      <c r="J25" s="126">
        <v>16785.650000000001</v>
      </c>
      <c r="K25" s="190">
        <v>410750.61693854479</v>
      </c>
    </row>
    <row r="26" spans="1:11" x14ac:dyDescent="0.25">
      <c r="A26" s="173">
        <v>1835</v>
      </c>
      <c r="B26" s="128" t="s">
        <v>131</v>
      </c>
      <c r="C26" s="126">
        <v>759070</v>
      </c>
      <c r="D26" s="168">
        <v>19.180230871860317</v>
      </c>
      <c r="E26" s="133">
        <v>5.2137015799278992E-2</v>
      </c>
      <c r="F26" s="130">
        <v>273009.36252099159</v>
      </c>
      <c r="G26" s="126">
        <v>273963.68372222199</v>
      </c>
      <c r="H26" s="190">
        <f t="shared" si="0"/>
        <v>-954.32120123039931</v>
      </c>
      <c r="I26" s="190">
        <f t="shared" si="1"/>
        <v>39575.644582758701</v>
      </c>
      <c r="J26" s="126">
        <v>2777</v>
      </c>
      <c r="K26" s="190">
        <v>290020.18481237092</v>
      </c>
    </row>
    <row r="27" spans="1:11" x14ac:dyDescent="0.25">
      <c r="A27" s="173">
        <v>1840</v>
      </c>
      <c r="B27" s="128" t="s">
        <v>132</v>
      </c>
      <c r="C27" s="126">
        <v>106388</v>
      </c>
      <c r="D27" s="168">
        <v>50.06494117647059</v>
      </c>
      <c r="E27" s="133">
        <v>1.9974057224499003E-2</v>
      </c>
      <c r="F27" s="130">
        <v>242777.03355453571</v>
      </c>
      <c r="G27" s="126">
        <v>247919.52104545454</v>
      </c>
      <c r="H27" s="190">
        <f t="shared" si="0"/>
        <v>-5142.4874909188366</v>
      </c>
      <c r="I27" s="190">
        <f t="shared" si="1"/>
        <v>2125</v>
      </c>
      <c r="J27" s="126">
        <v>2553.6799999999998</v>
      </c>
      <c r="K27" s="190">
        <v>241285.85355453572</v>
      </c>
    </row>
    <row r="28" spans="1:11" x14ac:dyDescent="0.25">
      <c r="A28" s="173">
        <v>1845</v>
      </c>
      <c r="B28" s="128" t="s">
        <v>133</v>
      </c>
      <c r="C28" s="126">
        <v>756107.5</v>
      </c>
      <c r="D28" s="168">
        <v>34.42</v>
      </c>
      <c r="E28" s="133">
        <v>2.9052876234747237E-2</v>
      </c>
      <c r="F28" s="130">
        <v>676204.52936906333</v>
      </c>
      <c r="G28" s="126">
        <v>674067.867571429</v>
      </c>
      <c r="H28" s="190">
        <f t="shared" si="0"/>
        <v>2136.6617976343259</v>
      </c>
      <c r="I28" s="190">
        <f t="shared" si="1"/>
        <v>21967.097617664149</v>
      </c>
      <c r="J28" s="126">
        <v>18446.93</v>
      </c>
      <c r="K28" s="190">
        <v>668741.14817789535</v>
      </c>
    </row>
    <row r="29" spans="1:11" x14ac:dyDescent="0.25">
      <c r="A29" s="173">
        <v>1850</v>
      </c>
      <c r="B29" s="128" t="s">
        <v>134</v>
      </c>
      <c r="C29" s="126">
        <v>506660.54</v>
      </c>
      <c r="D29" s="168">
        <v>39.51</v>
      </c>
      <c r="E29" s="133">
        <v>2.5310048089091371E-2</v>
      </c>
      <c r="F29" s="130">
        <v>484337.78590647428</v>
      </c>
      <c r="G29" s="126">
        <v>490263.70015476196</v>
      </c>
      <c r="H29" s="190">
        <f t="shared" si="0"/>
        <v>-5925.9142482876778</v>
      </c>
      <c r="I29" s="190">
        <f t="shared" si="1"/>
        <v>12823.602632245002</v>
      </c>
      <c r="J29" s="126">
        <v>4858.26</v>
      </c>
      <c r="K29" s="190">
        <v>485891.32722259674</v>
      </c>
    </row>
    <row r="30" spans="1:11" x14ac:dyDescent="0.25">
      <c r="A30" s="173">
        <v>1855</v>
      </c>
      <c r="B30" s="128" t="s">
        <v>135</v>
      </c>
      <c r="C30" s="126">
        <v>181777</v>
      </c>
      <c r="D30" s="168">
        <v>25</v>
      </c>
      <c r="E30" s="133">
        <v>0.04</v>
      </c>
      <c r="F30" s="130">
        <v>84962.544800000003</v>
      </c>
      <c r="G30" s="126">
        <v>85088.969200000007</v>
      </c>
      <c r="H30" s="190">
        <f t="shared" si="0"/>
        <v>-126.42440000000352</v>
      </c>
      <c r="I30" s="190">
        <f t="shared" si="1"/>
        <v>7271.08</v>
      </c>
      <c r="J30" s="126">
        <v>0</v>
      </c>
      <c r="K30" s="190">
        <v>88598.084800000011</v>
      </c>
    </row>
    <row r="31" spans="1:11" x14ac:dyDescent="0.25">
      <c r="A31" s="173">
        <v>1860</v>
      </c>
      <c r="B31" s="128" t="s">
        <v>136</v>
      </c>
      <c r="C31" s="126">
        <v>89626</v>
      </c>
      <c r="D31" s="168">
        <v>31</v>
      </c>
      <c r="E31" s="133">
        <v>3.2258064516129031E-2</v>
      </c>
      <c r="F31" s="130">
        <v>248357.24309632348</v>
      </c>
      <c r="G31" s="126">
        <v>239530.76693333336</v>
      </c>
      <c r="H31" s="190">
        <f t="shared" si="0"/>
        <v>8826.4761629901186</v>
      </c>
      <c r="I31" s="190">
        <f t="shared" si="1"/>
        <v>2891.1612903225805</v>
      </c>
      <c r="J31" s="126">
        <v>0</v>
      </c>
      <c r="K31" s="190">
        <v>249802.82374148475</v>
      </c>
    </row>
    <row r="32" spans="1:11" x14ac:dyDescent="0.25">
      <c r="A32" s="134">
        <v>1860</v>
      </c>
      <c r="B32" s="127" t="s">
        <v>137</v>
      </c>
      <c r="C32" s="126">
        <v>0</v>
      </c>
      <c r="D32" s="168">
        <v>0</v>
      </c>
      <c r="E32" s="133">
        <v>0</v>
      </c>
      <c r="F32" s="130">
        <v>375872</v>
      </c>
      <c r="G32" s="126">
        <v>371730</v>
      </c>
      <c r="H32" s="190">
        <f t="shared" si="0"/>
        <v>4142</v>
      </c>
      <c r="I32" s="190">
        <f t="shared" si="1"/>
        <v>0</v>
      </c>
      <c r="J32" s="126">
        <v>0</v>
      </c>
      <c r="K32" s="190">
        <v>375872</v>
      </c>
    </row>
    <row r="33" spans="1:11" x14ac:dyDescent="0.25">
      <c r="A33" s="134">
        <v>1905</v>
      </c>
      <c r="B33" s="127" t="s">
        <v>124</v>
      </c>
      <c r="C33" s="126">
        <v>0</v>
      </c>
      <c r="D33" s="168">
        <v>0</v>
      </c>
      <c r="E33" s="133">
        <v>0</v>
      </c>
      <c r="F33" s="130">
        <v>0</v>
      </c>
      <c r="G33" s="126">
        <v>0</v>
      </c>
      <c r="H33" s="190">
        <f t="shared" si="0"/>
        <v>0</v>
      </c>
      <c r="I33" s="190">
        <f t="shared" si="1"/>
        <v>0</v>
      </c>
      <c r="J33" s="126">
        <v>0</v>
      </c>
      <c r="K33" s="190">
        <v>0</v>
      </c>
    </row>
    <row r="34" spans="1:11" x14ac:dyDescent="0.25">
      <c r="A34" s="173">
        <v>1908</v>
      </c>
      <c r="B34" s="128" t="s">
        <v>138</v>
      </c>
      <c r="C34" s="126">
        <v>0</v>
      </c>
      <c r="D34" s="168">
        <v>33.572478055810301</v>
      </c>
      <c r="E34" s="133">
        <v>2.9786302885882226E-2</v>
      </c>
      <c r="F34" s="130">
        <v>0</v>
      </c>
      <c r="G34" s="126">
        <v>0</v>
      </c>
      <c r="H34" s="190">
        <f t="shared" si="0"/>
        <v>0</v>
      </c>
      <c r="I34" s="190">
        <f t="shared" si="1"/>
        <v>0</v>
      </c>
      <c r="J34" s="126">
        <v>0</v>
      </c>
      <c r="K34" s="190">
        <v>0</v>
      </c>
    </row>
    <row r="35" spans="1:11" x14ac:dyDescent="0.25">
      <c r="A35" s="173">
        <v>1910</v>
      </c>
      <c r="B35" s="128" t="s">
        <v>126</v>
      </c>
      <c r="C35" s="126">
        <v>0</v>
      </c>
      <c r="D35" s="168">
        <v>0</v>
      </c>
      <c r="E35" s="133">
        <v>0</v>
      </c>
      <c r="F35" s="130">
        <v>13653.199333333332</v>
      </c>
      <c r="G35" s="126">
        <v>16209.666666666666</v>
      </c>
      <c r="H35" s="190">
        <f t="shared" si="0"/>
        <v>-2556.467333333334</v>
      </c>
      <c r="I35" s="190">
        <f t="shared" si="1"/>
        <v>0</v>
      </c>
      <c r="J35" s="126">
        <v>7668.2933333333322</v>
      </c>
      <c r="K35" s="190">
        <v>5984.9059999999999</v>
      </c>
    </row>
    <row r="36" spans="1:11" x14ac:dyDescent="0.25">
      <c r="A36" s="173">
        <v>1915</v>
      </c>
      <c r="B36" s="128" t="s">
        <v>139</v>
      </c>
      <c r="C36" s="126">
        <v>4800</v>
      </c>
      <c r="D36" s="168">
        <v>10</v>
      </c>
      <c r="E36" s="133">
        <v>0.1</v>
      </c>
      <c r="F36" s="130">
        <v>2905.3670000000002</v>
      </c>
      <c r="G36" s="126">
        <v>2929.3420000000001</v>
      </c>
      <c r="H36" s="190">
        <f t="shared" si="0"/>
        <v>-23.974999999999909</v>
      </c>
      <c r="I36" s="190">
        <f t="shared" si="1"/>
        <v>480</v>
      </c>
      <c r="J36" s="126">
        <v>0</v>
      </c>
      <c r="K36" s="190">
        <v>3145.3670000000002</v>
      </c>
    </row>
    <row r="37" spans="1:11" x14ac:dyDescent="0.25">
      <c r="A37" s="173">
        <v>1915</v>
      </c>
      <c r="B37" s="128" t="s">
        <v>140</v>
      </c>
      <c r="C37" s="126">
        <v>0</v>
      </c>
      <c r="D37" s="168">
        <v>0</v>
      </c>
      <c r="E37" s="133">
        <v>0</v>
      </c>
      <c r="F37" s="130">
        <v>0</v>
      </c>
      <c r="G37" s="126">
        <v>0</v>
      </c>
      <c r="H37" s="190">
        <f t="shared" si="0"/>
        <v>0</v>
      </c>
      <c r="I37" s="190">
        <f t="shared" si="1"/>
        <v>0</v>
      </c>
      <c r="J37" s="126">
        <v>0</v>
      </c>
      <c r="K37" s="190">
        <v>0</v>
      </c>
    </row>
    <row r="38" spans="1:11" x14ac:dyDescent="0.25">
      <c r="A38" s="173">
        <v>1920</v>
      </c>
      <c r="B38" s="128" t="s">
        <v>141</v>
      </c>
      <c r="C38" s="126">
        <v>0</v>
      </c>
      <c r="D38" s="168">
        <v>0</v>
      </c>
      <c r="E38" s="133">
        <v>0</v>
      </c>
      <c r="F38" s="130">
        <v>0</v>
      </c>
      <c r="G38" s="126">
        <v>0</v>
      </c>
      <c r="H38" s="190">
        <f t="shared" si="0"/>
        <v>0</v>
      </c>
      <c r="I38" s="190">
        <f t="shared" si="1"/>
        <v>0</v>
      </c>
      <c r="J38" s="126">
        <v>0</v>
      </c>
      <c r="K38" s="190">
        <v>0</v>
      </c>
    </row>
    <row r="39" spans="1:11" x14ac:dyDescent="0.25">
      <c r="A39" s="135">
        <v>1920</v>
      </c>
      <c r="B39" s="125" t="s">
        <v>142</v>
      </c>
      <c r="C39" s="126">
        <v>0</v>
      </c>
      <c r="D39" s="168">
        <v>0</v>
      </c>
      <c r="E39" s="133">
        <v>0</v>
      </c>
      <c r="F39" s="130">
        <v>0</v>
      </c>
      <c r="G39" s="126">
        <v>0</v>
      </c>
      <c r="H39" s="190">
        <f t="shared" si="0"/>
        <v>0</v>
      </c>
      <c r="I39" s="190">
        <f t="shared" si="1"/>
        <v>0</v>
      </c>
      <c r="J39" s="126">
        <v>0</v>
      </c>
      <c r="K39" s="190">
        <v>0</v>
      </c>
    </row>
    <row r="40" spans="1:11" x14ac:dyDescent="0.25">
      <c r="A40" s="135">
        <v>1920</v>
      </c>
      <c r="B40" s="125" t="s">
        <v>143</v>
      </c>
      <c r="C40" s="126">
        <v>87200</v>
      </c>
      <c r="D40" s="168">
        <v>4</v>
      </c>
      <c r="E40" s="133">
        <v>0.25</v>
      </c>
      <c r="F40" s="130">
        <v>21001.752500000002</v>
      </c>
      <c r="G40" s="126">
        <v>17775.3475</v>
      </c>
      <c r="H40" s="190">
        <f t="shared" si="0"/>
        <v>3226.4050000000025</v>
      </c>
      <c r="I40" s="190">
        <f t="shared" si="1"/>
        <v>21800</v>
      </c>
      <c r="J40" s="126">
        <v>0</v>
      </c>
      <c r="K40" s="190">
        <v>31901.752500000002</v>
      </c>
    </row>
    <row r="41" spans="1:11" x14ac:dyDescent="0.25">
      <c r="A41" s="173">
        <v>1930</v>
      </c>
      <c r="B41" s="128" t="s">
        <v>144</v>
      </c>
      <c r="C41" s="126">
        <v>400000</v>
      </c>
      <c r="D41" s="168">
        <v>9.75</v>
      </c>
      <c r="E41" s="133">
        <v>0.10256410256410256</v>
      </c>
      <c r="F41" s="130">
        <v>179150.09277864336</v>
      </c>
      <c r="G41" s="126">
        <v>181300.70076923078</v>
      </c>
      <c r="H41" s="190">
        <f t="shared" si="0"/>
        <v>-2150.6079905874212</v>
      </c>
      <c r="I41" s="190">
        <f t="shared" si="1"/>
        <v>41025.641025641024</v>
      </c>
      <c r="J41" s="126">
        <v>0</v>
      </c>
      <c r="K41" s="190">
        <v>199662.91329146389</v>
      </c>
    </row>
    <row r="42" spans="1:11" x14ac:dyDescent="0.25">
      <c r="A42" s="173">
        <v>1935</v>
      </c>
      <c r="B42" s="128" t="s">
        <v>145</v>
      </c>
      <c r="C42" s="126">
        <v>0</v>
      </c>
      <c r="D42" s="168">
        <v>0</v>
      </c>
      <c r="E42" s="133">
        <v>0</v>
      </c>
      <c r="F42" s="130">
        <v>518.42499999999995</v>
      </c>
      <c r="G42" s="126">
        <v>518</v>
      </c>
      <c r="H42" s="190">
        <f t="shared" si="0"/>
        <v>0.42499999999995453</v>
      </c>
      <c r="I42" s="190">
        <f t="shared" si="1"/>
        <v>0</v>
      </c>
      <c r="J42" s="126">
        <v>0</v>
      </c>
      <c r="K42" s="190">
        <v>518.42499999999995</v>
      </c>
    </row>
    <row r="43" spans="1:11" x14ac:dyDescent="0.25">
      <c r="A43" s="173">
        <v>1940</v>
      </c>
      <c r="B43" s="128" t="s">
        <v>146</v>
      </c>
      <c r="C43" s="126">
        <v>25000</v>
      </c>
      <c r="D43" s="168">
        <v>10</v>
      </c>
      <c r="E43" s="133">
        <v>0.1</v>
      </c>
      <c r="F43" s="130">
        <v>19536.843000000004</v>
      </c>
      <c r="G43" s="126">
        <v>18863.216</v>
      </c>
      <c r="H43" s="190">
        <f t="shared" si="0"/>
        <v>673.62700000000405</v>
      </c>
      <c r="I43" s="190">
        <f t="shared" si="1"/>
        <v>2500</v>
      </c>
      <c r="J43" s="126">
        <v>2062.88</v>
      </c>
      <c r="K43" s="190">
        <v>18723.963000000003</v>
      </c>
    </row>
    <row r="44" spans="1:11" x14ac:dyDescent="0.25">
      <c r="A44" s="173">
        <v>1945</v>
      </c>
      <c r="B44" s="128" t="s">
        <v>147</v>
      </c>
      <c r="C44" s="126">
        <v>0</v>
      </c>
      <c r="D44" s="168">
        <v>0</v>
      </c>
      <c r="E44" s="133">
        <v>0</v>
      </c>
      <c r="F44" s="130">
        <v>811.44900000000007</v>
      </c>
      <c r="G44" s="126">
        <v>812</v>
      </c>
      <c r="H44" s="190">
        <f t="shared" si="0"/>
        <v>-0.55099999999993088</v>
      </c>
      <c r="I44" s="190">
        <f t="shared" si="1"/>
        <v>0</v>
      </c>
      <c r="J44" s="126">
        <v>0</v>
      </c>
      <c r="K44" s="190">
        <v>811.44900000000007</v>
      </c>
    </row>
    <row r="45" spans="1:11" x14ac:dyDescent="0.25">
      <c r="A45" s="173">
        <v>1950</v>
      </c>
      <c r="B45" s="128" t="s">
        <v>148</v>
      </c>
      <c r="C45" s="126">
        <v>0</v>
      </c>
      <c r="D45" s="168">
        <v>0</v>
      </c>
      <c r="E45" s="133">
        <v>0</v>
      </c>
      <c r="F45" s="130">
        <v>0</v>
      </c>
      <c r="G45" s="126">
        <v>0</v>
      </c>
      <c r="H45" s="190">
        <f t="shared" si="0"/>
        <v>0</v>
      </c>
      <c r="I45" s="190">
        <f t="shared" si="1"/>
        <v>0</v>
      </c>
      <c r="J45" s="126">
        <v>0</v>
      </c>
      <c r="K45" s="190">
        <v>0</v>
      </c>
    </row>
    <row r="46" spans="1:11" x14ac:dyDescent="0.25">
      <c r="A46" s="173">
        <v>1955</v>
      </c>
      <c r="B46" s="128" t="s">
        <v>149</v>
      </c>
      <c r="C46" s="126">
        <v>0</v>
      </c>
      <c r="D46" s="168">
        <v>0</v>
      </c>
      <c r="E46" s="133">
        <v>0</v>
      </c>
      <c r="F46" s="130">
        <v>7517.5259999999998</v>
      </c>
      <c r="G46" s="126">
        <v>12054</v>
      </c>
      <c r="H46" s="190">
        <f t="shared" si="0"/>
        <v>-4536.4740000000002</v>
      </c>
      <c r="I46" s="190">
        <f t="shared" si="1"/>
        <v>0</v>
      </c>
      <c r="J46" s="126">
        <v>0</v>
      </c>
      <c r="K46" s="190">
        <v>7517.5259999999998</v>
      </c>
    </row>
    <row r="47" spans="1:11" x14ac:dyDescent="0.25">
      <c r="A47" s="136">
        <v>1955</v>
      </c>
      <c r="B47" s="129" t="s">
        <v>150</v>
      </c>
      <c r="C47" s="126">
        <v>0</v>
      </c>
      <c r="D47" s="168">
        <v>0</v>
      </c>
      <c r="E47" s="133">
        <v>0</v>
      </c>
      <c r="F47" s="130">
        <v>0</v>
      </c>
      <c r="G47" s="126">
        <v>0</v>
      </c>
      <c r="H47" s="190">
        <f t="shared" si="0"/>
        <v>0</v>
      </c>
      <c r="I47" s="190">
        <f t="shared" si="1"/>
        <v>0</v>
      </c>
      <c r="J47" s="126">
        <v>0</v>
      </c>
      <c r="K47" s="190">
        <v>0</v>
      </c>
    </row>
    <row r="48" spans="1:11" x14ac:dyDescent="0.25">
      <c r="A48" s="135">
        <v>1960</v>
      </c>
      <c r="B48" s="125" t="s">
        <v>151</v>
      </c>
      <c r="C48" s="126">
        <v>0</v>
      </c>
      <c r="D48" s="168">
        <v>0</v>
      </c>
      <c r="E48" s="133">
        <v>0</v>
      </c>
      <c r="F48" s="130">
        <v>0</v>
      </c>
      <c r="G48" s="126">
        <v>0</v>
      </c>
      <c r="H48" s="190">
        <f t="shared" si="0"/>
        <v>0</v>
      </c>
      <c r="I48" s="190">
        <f t="shared" si="1"/>
        <v>0</v>
      </c>
      <c r="J48" s="126">
        <v>0</v>
      </c>
      <c r="K48" s="190">
        <v>0</v>
      </c>
    </row>
    <row r="49" spans="1:11" x14ac:dyDescent="0.25">
      <c r="A49" s="135">
        <v>1970</v>
      </c>
      <c r="B49" s="171" t="s">
        <v>182</v>
      </c>
      <c r="C49" s="126">
        <v>0</v>
      </c>
      <c r="D49" s="168">
        <v>0</v>
      </c>
      <c r="E49" s="133">
        <v>0</v>
      </c>
      <c r="F49" s="130">
        <v>0</v>
      </c>
      <c r="G49" s="126">
        <v>0</v>
      </c>
      <c r="H49" s="190">
        <f t="shared" si="0"/>
        <v>0</v>
      </c>
      <c r="I49" s="190">
        <f t="shared" si="1"/>
        <v>0</v>
      </c>
      <c r="J49" s="126">
        <v>0</v>
      </c>
      <c r="K49" s="190">
        <v>0</v>
      </c>
    </row>
    <row r="50" spans="1:11" x14ac:dyDescent="0.25">
      <c r="A50" s="173">
        <v>1975</v>
      </c>
      <c r="B50" s="128" t="s">
        <v>153</v>
      </c>
      <c r="C50" s="126">
        <v>0</v>
      </c>
      <c r="D50" s="168">
        <v>0</v>
      </c>
      <c r="E50" s="133">
        <v>0</v>
      </c>
      <c r="F50" s="130">
        <v>0</v>
      </c>
      <c r="G50" s="126">
        <v>0</v>
      </c>
      <c r="H50" s="190">
        <f t="shared" si="0"/>
        <v>0</v>
      </c>
      <c r="I50" s="190">
        <f t="shared" si="1"/>
        <v>0</v>
      </c>
      <c r="J50" s="126">
        <v>0</v>
      </c>
      <c r="K50" s="190">
        <v>0</v>
      </c>
    </row>
    <row r="51" spans="1:11" x14ac:dyDescent="0.25">
      <c r="A51" s="173">
        <v>1980</v>
      </c>
      <c r="B51" s="128" t="s">
        <v>154</v>
      </c>
      <c r="C51" s="126">
        <v>89336.85</v>
      </c>
      <c r="D51" s="168">
        <v>15</v>
      </c>
      <c r="E51" s="133">
        <v>6.6666666666666666E-2</v>
      </c>
      <c r="F51" s="130">
        <v>62511.638999999996</v>
      </c>
      <c r="G51" s="126">
        <v>62511.934666666668</v>
      </c>
      <c r="H51" s="190">
        <f t="shared" si="0"/>
        <v>-0.29566666667233221</v>
      </c>
      <c r="I51" s="190">
        <f t="shared" si="1"/>
        <v>5955.79</v>
      </c>
      <c r="J51" s="126">
        <v>0</v>
      </c>
      <c r="K51" s="190">
        <v>65489.534</v>
      </c>
    </row>
    <row r="52" spans="1:11" x14ac:dyDescent="0.25">
      <c r="A52" s="173">
        <v>1985</v>
      </c>
      <c r="B52" s="128" t="s">
        <v>155</v>
      </c>
      <c r="C52" s="126">
        <v>0</v>
      </c>
      <c r="D52" s="168">
        <v>0</v>
      </c>
      <c r="E52" s="133">
        <v>0</v>
      </c>
      <c r="F52" s="130">
        <v>0</v>
      </c>
      <c r="G52" s="126">
        <v>0</v>
      </c>
      <c r="H52" s="190">
        <f t="shared" si="0"/>
        <v>0</v>
      </c>
      <c r="I52" s="190">
        <f t="shared" si="1"/>
        <v>0</v>
      </c>
      <c r="J52" s="126">
        <v>0</v>
      </c>
      <c r="K52" s="190">
        <v>0</v>
      </c>
    </row>
    <row r="53" spans="1:11" x14ac:dyDescent="0.25">
      <c r="A53" s="173">
        <v>1990</v>
      </c>
      <c r="B53" s="172" t="s">
        <v>156</v>
      </c>
      <c r="C53" s="126">
        <v>0</v>
      </c>
      <c r="D53" s="168">
        <v>0</v>
      </c>
      <c r="E53" s="133">
        <v>0</v>
      </c>
      <c r="F53" s="130">
        <v>0</v>
      </c>
      <c r="G53" s="126">
        <v>0</v>
      </c>
      <c r="H53" s="190">
        <f t="shared" si="0"/>
        <v>0</v>
      </c>
      <c r="I53" s="190">
        <f t="shared" si="1"/>
        <v>0</v>
      </c>
      <c r="J53" s="126">
        <v>0</v>
      </c>
      <c r="K53" s="190">
        <v>0</v>
      </c>
    </row>
    <row r="54" spans="1:11" ht="15.75" thickBot="1" x14ac:dyDescent="0.3">
      <c r="A54" s="173">
        <v>1995</v>
      </c>
      <c r="B54" s="128" t="s">
        <v>157</v>
      </c>
      <c r="C54" s="126">
        <v>-512884</v>
      </c>
      <c r="D54" s="168">
        <v>39.25</v>
      </c>
      <c r="E54" s="137">
        <v>2.5477707006369428E-2</v>
      </c>
      <c r="F54" s="130">
        <v>-142060.75699059007</v>
      </c>
      <c r="G54" s="126">
        <v>-142237</v>
      </c>
      <c r="H54" s="207">
        <f t="shared" si="0"/>
        <v>176.24300940992543</v>
      </c>
      <c r="I54" s="207">
        <f t="shared" si="1"/>
        <v>-13067.108280254777</v>
      </c>
      <c r="J54" s="126">
        <v>-6102</v>
      </c>
      <c r="K54" s="190">
        <v>-142492.31113071748</v>
      </c>
    </row>
    <row r="55" spans="1:11" ht="16.5" thickTop="1" thickBot="1" x14ac:dyDescent="0.3">
      <c r="A55" s="138"/>
      <c r="B55" s="139" t="s">
        <v>80</v>
      </c>
      <c r="C55" s="146">
        <f>SUM(C17:C54)</f>
        <v>3596697.4600000004</v>
      </c>
      <c r="D55" s="147"/>
      <c r="E55" s="163"/>
      <c r="F55" s="146">
        <f t="shared" ref="F55:K55" si="2">SUM(F17:F54)</f>
        <v>3296151.5374803967</v>
      </c>
      <c r="G55" s="146">
        <f t="shared" si="2"/>
        <v>3286223.9156186543</v>
      </c>
      <c r="H55" s="146">
        <f t="shared" si="2"/>
        <v>9927.6218617425184</v>
      </c>
      <c r="I55" s="146">
        <f t="shared" si="2"/>
        <v>330692.81752222282</v>
      </c>
      <c r="J55" s="146">
        <f t="shared" si="2"/>
        <v>88477.693333333344</v>
      </c>
      <c r="K55" s="146">
        <f t="shared" si="2"/>
        <v>3373020.2529081749</v>
      </c>
    </row>
    <row r="56" spans="1:11" x14ac:dyDescent="0.25">
      <c r="A56" s="148"/>
      <c r="B56" s="155" t="s">
        <v>198</v>
      </c>
      <c r="C56" s="156"/>
      <c r="D56" s="156"/>
      <c r="E56" s="156"/>
      <c r="F56" s="164"/>
      <c r="G56" s="149"/>
      <c r="H56" s="149"/>
      <c r="I56" s="117"/>
      <c r="J56" s="117"/>
      <c r="K56" s="117"/>
    </row>
    <row r="57" spans="1:11" x14ac:dyDescent="0.25">
      <c r="A57" s="117"/>
      <c r="B57" s="1084" t="s">
        <v>199</v>
      </c>
      <c r="C57" s="1084"/>
      <c r="D57" s="1084"/>
      <c r="E57" s="1085"/>
      <c r="F57" s="130">
        <f>F55</f>
        <v>3296151.5374803967</v>
      </c>
      <c r="G57" s="117"/>
      <c r="H57" s="117"/>
      <c r="I57" s="117"/>
      <c r="J57" s="117"/>
      <c r="K57" s="117"/>
    </row>
    <row r="58" spans="1:11" x14ac:dyDescent="0.25">
      <c r="A58" s="122" t="s">
        <v>82</v>
      </c>
      <c r="B58" s="120"/>
      <c r="C58" s="120"/>
      <c r="D58" s="120"/>
      <c r="E58" s="120"/>
      <c r="F58" s="120"/>
      <c r="G58" s="120"/>
      <c r="H58" s="120"/>
      <c r="I58" s="117"/>
      <c r="J58" s="117"/>
      <c r="K58" s="117"/>
    </row>
    <row r="59" spans="1:11" x14ac:dyDescent="0.25">
      <c r="A59" s="154">
        <v>1</v>
      </c>
      <c r="B59" s="1068" t="s">
        <v>183</v>
      </c>
      <c r="C59" s="1068"/>
      <c r="D59" s="1068"/>
      <c r="E59" s="1068"/>
      <c r="F59" s="1068"/>
      <c r="G59" s="1068"/>
      <c r="H59" s="1068"/>
      <c r="I59" s="174"/>
      <c r="J59" s="117"/>
      <c r="K59" s="117"/>
    </row>
    <row r="60" spans="1:11" x14ac:dyDescent="0.25">
      <c r="A60" s="150">
        <v>2</v>
      </c>
      <c r="B60" s="1068" t="s">
        <v>184</v>
      </c>
      <c r="C60" s="1068"/>
      <c r="D60" s="1068"/>
      <c r="E60" s="1068"/>
      <c r="F60" s="1068"/>
      <c r="G60" s="1068"/>
      <c r="H60" s="1068"/>
      <c r="I60" s="1068"/>
      <c r="J60" s="117"/>
      <c r="K60" s="117"/>
    </row>
    <row r="61" spans="1:11" x14ac:dyDescent="0.25">
      <c r="A61" s="140">
        <v>3</v>
      </c>
      <c r="B61" s="1068" t="s">
        <v>185</v>
      </c>
      <c r="C61" s="1068"/>
      <c r="D61" s="1068"/>
      <c r="E61" s="1068"/>
      <c r="F61" s="1068"/>
      <c r="G61" s="1068"/>
      <c r="H61" s="1068"/>
      <c r="I61" s="1068"/>
      <c r="J61" s="1068"/>
      <c r="K61" s="1068"/>
    </row>
    <row r="62" spans="1:11" x14ac:dyDescent="0.25">
      <c r="A62" s="140"/>
      <c r="B62" s="170"/>
      <c r="C62" s="170"/>
      <c r="D62" s="170"/>
      <c r="E62" s="170"/>
      <c r="F62" s="170"/>
      <c r="G62" s="170"/>
      <c r="H62" s="170"/>
      <c r="I62" s="170"/>
      <c r="J62" s="170"/>
      <c r="K62" s="170"/>
    </row>
    <row r="63" spans="1:11" x14ac:dyDescent="0.25">
      <c r="A63" s="140"/>
      <c r="B63" s="170"/>
      <c r="C63" s="170"/>
      <c r="D63" s="170"/>
      <c r="E63" s="170"/>
      <c r="F63" s="170"/>
      <c r="G63" s="170"/>
      <c r="H63" s="170"/>
      <c r="I63" s="170"/>
      <c r="J63" s="170"/>
      <c r="K63" s="170"/>
    </row>
    <row r="64" spans="1:11" x14ac:dyDescent="0.25">
      <c r="A64" s="122" t="s">
        <v>186</v>
      </c>
      <c r="B64" s="1084" t="s">
        <v>187</v>
      </c>
      <c r="C64" s="1084"/>
      <c r="D64" s="1084"/>
      <c r="E64" s="1084"/>
      <c r="F64" s="1084"/>
      <c r="G64" s="1084"/>
      <c r="H64" s="1084"/>
      <c r="I64" s="141"/>
      <c r="J64" s="117"/>
      <c r="K64" s="117"/>
    </row>
    <row r="65" spans="1:11" x14ac:dyDescent="0.25">
      <c r="A65" s="120"/>
      <c r="B65" s="1084"/>
      <c r="C65" s="1084"/>
      <c r="D65" s="1084"/>
      <c r="E65" s="1084"/>
      <c r="F65" s="1084"/>
      <c r="G65" s="1084"/>
      <c r="H65" s="1084"/>
      <c r="I65" s="141"/>
      <c r="J65" s="117"/>
      <c r="K65" s="117"/>
    </row>
    <row r="66" spans="1:11" x14ac:dyDescent="0.25">
      <c r="A66" s="120"/>
      <c r="B66" s="117"/>
      <c r="C66" s="117"/>
      <c r="D66" s="117"/>
      <c r="E66" s="117"/>
      <c r="F66" s="117"/>
      <c r="G66" s="117"/>
      <c r="H66" s="117"/>
      <c r="I66" s="141"/>
      <c r="J66" s="117"/>
      <c r="K66" s="117"/>
    </row>
    <row r="67" spans="1:11" x14ac:dyDescent="0.25">
      <c r="A67" s="117"/>
      <c r="B67" s="117"/>
      <c r="C67" s="117"/>
      <c r="D67" s="117"/>
      <c r="E67" s="117"/>
      <c r="F67" s="117"/>
      <c r="G67" s="117"/>
      <c r="H67" s="117"/>
      <c r="I67" s="117"/>
      <c r="J67" s="162"/>
      <c r="K67" s="162"/>
    </row>
    <row r="68" spans="1:11" x14ac:dyDescent="0.25">
      <c r="A68" s="117"/>
      <c r="B68" s="117"/>
      <c r="C68" s="117"/>
      <c r="D68" s="117"/>
      <c r="E68" s="117"/>
      <c r="F68" s="117"/>
      <c r="G68" s="117"/>
      <c r="H68" s="117"/>
      <c r="I68" s="117"/>
      <c r="J68" s="162"/>
      <c r="K68" s="162"/>
    </row>
    <row r="69" spans="1:11" x14ac:dyDescent="0.25">
      <c r="A69" s="120"/>
      <c r="B69" s="117"/>
      <c r="C69" s="117"/>
      <c r="D69" s="117"/>
      <c r="E69" s="117"/>
      <c r="F69" s="117"/>
      <c r="G69" s="117"/>
      <c r="H69" s="117"/>
      <c r="I69" s="162"/>
      <c r="J69" s="162"/>
      <c r="K69" s="162"/>
    </row>
    <row r="70" spans="1:11" x14ac:dyDescent="0.25">
      <c r="A70" s="174"/>
      <c r="B70" s="174"/>
      <c r="C70" s="174"/>
      <c r="D70" s="174"/>
      <c r="E70" s="174"/>
      <c r="F70" s="120"/>
      <c r="G70" s="120"/>
      <c r="H70" s="120"/>
      <c r="I70" s="117"/>
      <c r="J70" s="117"/>
      <c r="K70" s="117"/>
    </row>
  </sheetData>
  <customSheetViews>
    <customSheetView guid="{FEE3C04B-CD27-4551-A1CF-8272225D231B}" topLeftCell="C40">
      <selection activeCell="L61" sqref="L61"/>
      <pageMargins left="0.7" right="0.7" top="0.75" bottom="0.75" header="0.3" footer="0.3"/>
    </customSheetView>
    <customSheetView guid="{957A2981-C0FE-4A89-90AC-F40944F7258F}" topLeftCell="A27">
      <selection activeCell="K55" sqref="K55"/>
      <pageMargins left="0.7" right="0.7" top="0.75" bottom="0.75" header="0.3" footer="0.3"/>
    </customSheetView>
    <customSheetView guid="{AE01795C-0F1A-4D22-B411-4CB1D681CFC8}" topLeftCell="C40">
      <selection activeCell="L61" sqref="L61"/>
      <pageMargins left="0.7" right="0.7" top="0.75" bottom="0.75" header="0.3" footer="0.3"/>
    </customSheetView>
  </customSheetViews>
  <mergeCells count="11">
    <mergeCell ref="B57:E57"/>
    <mergeCell ref="B59:H59"/>
    <mergeCell ref="B60:I60"/>
    <mergeCell ref="B61:K61"/>
    <mergeCell ref="B64:H65"/>
    <mergeCell ref="J15:J16"/>
    <mergeCell ref="A9:H9"/>
    <mergeCell ref="A10:I10"/>
    <mergeCell ref="A11:H11"/>
    <mergeCell ref="B15:B16"/>
    <mergeCell ref="G15:G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J11" sqref="J11"/>
    </sheetView>
  </sheetViews>
  <sheetFormatPr defaultRowHeight="15" x14ac:dyDescent="0.25"/>
  <cols>
    <col min="2" max="2" width="74.85546875" bestFit="1" customWidth="1"/>
    <col min="3" max="3" width="12.140625" customWidth="1"/>
    <col min="4" max="4" width="13.5703125" customWidth="1"/>
    <col min="5" max="6" width="17.5703125" customWidth="1"/>
    <col min="7" max="7" width="18.28515625" customWidth="1"/>
    <col min="8" max="8" width="18.7109375" customWidth="1"/>
  </cols>
  <sheetData>
    <row r="1" spans="1:11" x14ac:dyDescent="0.25">
      <c r="A1" s="177"/>
      <c r="B1" s="177"/>
      <c r="C1" s="184"/>
      <c r="D1" s="183"/>
      <c r="E1" s="184"/>
      <c r="F1" s="184"/>
      <c r="G1" s="182" t="s">
        <v>0</v>
      </c>
      <c r="H1" s="181">
        <v>0</v>
      </c>
      <c r="I1" s="177"/>
      <c r="J1" s="184"/>
      <c r="K1" s="177"/>
    </row>
    <row r="2" spans="1:11" x14ac:dyDescent="0.25">
      <c r="A2" s="177"/>
      <c r="B2" s="177"/>
      <c r="C2" s="184"/>
      <c r="D2" s="183"/>
      <c r="E2" s="184"/>
      <c r="F2" s="184"/>
      <c r="G2" s="182" t="s">
        <v>1</v>
      </c>
      <c r="H2" s="178"/>
      <c r="I2" s="177"/>
      <c r="J2" s="184"/>
      <c r="K2" s="177"/>
    </row>
    <row r="3" spans="1:11" x14ac:dyDescent="0.25">
      <c r="A3" s="177"/>
      <c r="B3" s="177"/>
      <c r="C3" s="184"/>
      <c r="D3" s="183"/>
      <c r="E3" s="184"/>
      <c r="F3" s="184"/>
      <c r="G3" s="182" t="s">
        <v>2</v>
      </c>
      <c r="H3" s="178"/>
      <c r="I3" s="177"/>
      <c r="J3" s="184"/>
      <c r="K3" s="177"/>
    </row>
    <row r="4" spans="1:11" x14ac:dyDescent="0.25">
      <c r="A4" s="177"/>
      <c r="B4" s="177"/>
      <c r="C4" s="184"/>
      <c r="D4" s="183"/>
      <c r="E4" s="184"/>
      <c r="F4" s="184"/>
      <c r="G4" s="182" t="s">
        <v>3</v>
      </c>
      <c r="H4" s="178"/>
      <c r="I4" s="177"/>
      <c r="J4" s="184"/>
      <c r="K4" s="177"/>
    </row>
    <row r="5" spans="1:11" x14ac:dyDescent="0.25">
      <c r="A5" s="177"/>
      <c r="B5" s="177"/>
      <c r="C5" s="184"/>
      <c r="D5" s="183"/>
      <c r="E5" s="184"/>
      <c r="F5" s="184"/>
      <c r="G5" s="182" t="s">
        <v>4</v>
      </c>
      <c r="H5" s="179"/>
      <c r="I5" s="177"/>
      <c r="J5" s="184"/>
      <c r="K5" s="177"/>
    </row>
    <row r="6" spans="1:11" x14ac:dyDescent="0.25">
      <c r="A6" s="177"/>
      <c r="B6" s="177"/>
      <c r="C6" s="184"/>
      <c r="D6" s="183"/>
      <c r="E6" s="184"/>
      <c r="F6" s="184"/>
      <c r="G6" s="182"/>
      <c r="H6" s="233"/>
      <c r="I6" s="177"/>
      <c r="J6" s="184"/>
      <c r="K6" s="177"/>
    </row>
    <row r="7" spans="1:11" x14ac:dyDescent="0.25">
      <c r="A7" s="177"/>
      <c r="B7" s="177"/>
      <c r="C7" s="184"/>
      <c r="D7" s="183"/>
      <c r="E7" s="184"/>
      <c r="F7" s="184"/>
      <c r="G7" s="182" t="s">
        <v>5</v>
      </c>
      <c r="H7" s="179"/>
      <c r="I7" s="177"/>
      <c r="J7" s="191"/>
      <c r="K7" s="177"/>
    </row>
    <row r="9" spans="1:11" ht="18" x14ac:dyDescent="0.25">
      <c r="A9" s="1079" t="s">
        <v>200</v>
      </c>
      <c r="B9" s="1079"/>
      <c r="C9" s="1079"/>
      <c r="D9" s="1079"/>
      <c r="E9" s="1079"/>
      <c r="F9" s="1079"/>
      <c r="G9" s="1079"/>
      <c r="H9" s="1079"/>
      <c r="I9" s="223"/>
      <c r="J9" s="177"/>
      <c r="K9" s="177"/>
    </row>
    <row r="10" spans="1:11" ht="18" x14ac:dyDescent="0.25">
      <c r="A10" s="1079" t="s">
        <v>172</v>
      </c>
      <c r="B10" s="1079"/>
      <c r="C10" s="1079"/>
      <c r="D10" s="1079"/>
      <c r="E10" s="1079"/>
      <c r="F10" s="1079"/>
      <c r="G10" s="1079"/>
      <c r="H10" s="1079"/>
      <c r="I10" s="1079"/>
      <c r="J10" s="177"/>
      <c r="K10" s="177"/>
    </row>
    <row r="11" spans="1:11" ht="32.25" customHeight="1" x14ac:dyDescent="0.25">
      <c r="A11" s="1080" t="s">
        <v>173</v>
      </c>
      <c r="B11" s="1080"/>
      <c r="C11" s="1080"/>
      <c r="D11" s="1080"/>
      <c r="E11" s="1080"/>
      <c r="F11" s="1080"/>
      <c r="G11" s="1080"/>
      <c r="H11" s="1080"/>
      <c r="I11" s="211"/>
      <c r="J11" s="211"/>
      <c r="K11" s="224"/>
    </row>
    <row r="12" spans="1:11" x14ac:dyDescent="0.25">
      <c r="A12" s="232"/>
      <c r="B12" s="232"/>
      <c r="C12" s="232"/>
      <c r="D12" s="232"/>
      <c r="E12" s="232"/>
      <c r="F12" s="232"/>
      <c r="G12" s="232"/>
      <c r="H12" s="232"/>
      <c r="I12" s="211"/>
      <c r="J12" s="211"/>
      <c r="K12" s="224"/>
    </row>
    <row r="13" spans="1:11" ht="18" x14ac:dyDescent="0.25">
      <c r="A13" s="227"/>
      <c r="B13" s="177"/>
      <c r="C13" s="177"/>
      <c r="D13" s="203">
        <v>2017</v>
      </c>
      <c r="E13" s="225" t="s">
        <v>13</v>
      </c>
      <c r="F13" s="225"/>
      <c r="G13" s="225"/>
      <c r="H13" s="225"/>
      <c r="I13" s="177"/>
      <c r="J13" s="177"/>
      <c r="K13" s="177"/>
    </row>
    <row r="14" spans="1:11" ht="15.75" thickBot="1" x14ac:dyDescent="0.3">
      <c r="A14" s="177"/>
      <c r="B14" s="177"/>
      <c r="C14" s="177"/>
      <c r="D14" s="177"/>
      <c r="E14" s="177"/>
      <c r="F14" s="177"/>
      <c r="G14" s="177"/>
      <c r="H14" s="177"/>
      <c r="I14" s="177"/>
      <c r="J14" s="177"/>
      <c r="K14" s="177"/>
    </row>
    <row r="15" spans="1:11" ht="38.25" x14ac:dyDescent="0.25">
      <c r="A15" s="217" t="s">
        <v>174</v>
      </c>
      <c r="B15" s="1081" t="s">
        <v>175</v>
      </c>
      <c r="C15" s="192" t="s">
        <v>118</v>
      </c>
      <c r="D15" s="192" t="s">
        <v>189</v>
      </c>
      <c r="E15" s="192" t="s">
        <v>176</v>
      </c>
      <c r="F15" s="204" t="s">
        <v>201</v>
      </c>
      <c r="G15" s="1077" t="s">
        <v>202</v>
      </c>
      <c r="H15" s="204" t="s">
        <v>177</v>
      </c>
      <c r="I15" s="177"/>
      <c r="J15" s="177"/>
      <c r="K15" s="177"/>
    </row>
    <row r="16" spans="1:11" ht="39.75" thickBot="1" x14ac:dyDescent="0.3">
      <c r="A16" s="218"/>
      <c r="B16" s="1082"/>
      <c r="C16" s="205" t="s">
        <v>179</v>
      </c>
      <c r="D16" s="205" t="s">
        <v>180</v>
      </c>
      <c r="E16" s="205" t="s">
        <v>181</v>
      </c>
      <c r="F16" s="212" t="s">
        <v>203</v>
      </c>
      <c r="G16" s="1083"/>
      <c r="H16" s="206" t="s">
        <v>195</v>
      </c>
      <c r="I16" s="177"/>
      <c r="J16" s="177"/>
      <c r="K16" s="177"/>
    </row>
    <row r="17" spans="1:8" x14ac:dyDescent="0.25">
      <c r="A17" s="219">
        <v>1611</v>
      </c>
      <c r="B17" s="220" t="s">
        <v>120</v>
      </c>
      <c r="C17" s="186">
        <v>952053</v>
      </c>
      <c r="D17" s="226">
        <v>5</v>
      </c>
      <c r="E17" s="221">
        <v>0.2</v>
      </c>
      <c r="F17" s="190">
        <v>354146.92</v>
      </c>
      <c r="G17" s="186">
        <v>346697</v>
      </c>
      <c r="H17" s="190">
        <f t="shared" ref="H17:H54" si="0">IF(ISERROR(+F17-G17), 0, +F17-G17)</f>
        <v>7449.9199999999837</v>
      </c>
    </row>
    <row r="18" spans="1:8" x14ac:dyDescent="0.25">
      <c r="A18" s="230">
        <v>1612</v>
      </c>
      <c r="B18" s="185" t="s">
        <v>122</v>
      </c>
      <c r="C18" s="186">
        <v>0</v>
      </c>
      <c r="D18" s="226">
        <v>0</v>
      </c>
      <c r="E18" s="193">
        <v>0</v>
      </c>
      <c r="F18" s="190">
        <v>2034.5000000000002</v>
      </c>
      <c r="G18" s="186">
        <v>2034.5</v>
      </c>
      <c r="H18" s="190">
        <f t="shared" si="0"/>
        <v>2.2737367544323206E-13</v>
      </c>
    </row>
    <row r="19" spans="1:8" x14ac:dyDescent="0.25">
      <c r="A19" s="194">
        <v>1805</v>
      </c>
      <c r="B19" s="187" t="s">
        <v>124</v>
      </c>
      <c r="C19" s="186">
        <v>0</v>
      </c>
      <c r="D19" s="226">
        <v>0</v>
      </c>
      <c r="E19" s="193">
        <v>0</v>
      </c>
      <c r="F19" s="190">
        <v>0</v>
      </c>
      <c r="G19" s="186">
        <v>0</v>
      </c>
      <c r="H19" s="190">
        <f t="shared" si="0"/>
        <v>0</v>
      </c>
    </row>
    <row r="20" spans="1:8" x14ac:dyDescent="0.25">
      <c r="A20" s="230">
        <v>1808</v>
      </c>
      <c r="B20" s="188" t="s">
        <v>125</v>
      </c>
      <c r="C20" s="186">
        <v>0</v>
      </c>
      <c r="D20" s="226">
        <v>0</v>
      </c>
      <c r="E20" s="193">
        <v>0</v>
      </c>
      <c r="F20" s="190">
        <v>27623.999999999996</v>
      </c>
      <c r="G20" s="186">
        <v>27623</v>
      </c>
      <c r="H20" s="190">
        <f t="shared" si="0"/>
        <v>0.99999999999636202</v>
      </c>
    </row>
    <row r="21" spans="1:8" x14ac:dyDescent="0.25">
      <c r="A21" s="230">
        <v>1810</v>
      </c>
      <c r="B21" s="188" t="s">
        <v>126</v>
      </c>
      <c r="C21" s="186">
        <v>0</v>
      </c>
      <c r="D21" s="226">
        <v>0</v>
      </c>
      <c r="E21" s="193">
        <v>0</v>
      </c>
      <c r="F21" s="190">
        <v>0</v>
      </c>
      <c r="G21" s="186">
        <v>0</v>
      </c>
      <c r="H21" s="190">
        <f t="shared" si="0"/>
        <v>0</v>
      </c>
    </row>
    <row r="22" spans="1:8" x14ac:dyDescent="0.25">
      <c r="A22" s="230">
        <v>1815</v>
      </c>
      <c r="B22" s="188" t="s">
        <v>127</v>
      </c>
      <c r="C22" s="186">
        <v>0</v>
      </c>
      <c r="D22" s="226">
        <v>0</v>
      </c>
      <c r="E22" s="193">
        <v>0</v>
      </c>
      <c r="F22" s="190">
        <v>121190.07333333333</v>
      </c>
      <c r="G22" s="186">
        <v>113604.38222222222</v>
      </c>
      <c r="H22" s="190">
        <f t="shared" si="0"/>
        <v>7585.6911111111112</v>
      </c>
    </row>
    <row r="23" spans="1:8" x14ac:dyDescent="0.25">
      <c r="A23" s="230">
        <v>1820</v>
      </c>
      <c r="B23" s="185" t="s">
        <v>128</v>
      </c>
      <c r="C23" s="186">
        <v>0</v>
      </c>
      <c r="D23" s="226">
        <v>0</v>
      </c>
      <c r="E23" s="193">
        <v>0</v>
      </c>
      <c r="F23" s="190">
        <v>-38995.504333333338</v>
      </c>
      <c r="G23" s="186">
        <v>212</v>
      </c>
      <c r="H23" s="190">
        <f t="shared" si="0"/>
        <v>-39207.504333333338</v>
      </c>
    </row>
    <row r="24" spans="1:8" x14ac:dyDescent="0.25">
      <c r="A24" s="230">
        <v>1825</v>
      </c>
      <c r="B24" s="188" t="s">
        <v>129</v>
      </c>
      <c r="C24" s="186">
        <v>0</v>
      </c>
      <c r="D24" s="226">
        <v>0</v>
      </c>
      <c r="E24" s="193">
        <v>0</v>
      </c>
      <c r="F24" s="190">
        <v>0</v>
      </c>
      <c r="G24" s="186">
        <v>0</v>
      </c>
      <c r="H24" s="190">
        <f t="shared" si="0"/>
        <v>0</v>
      </c>
    </row>
    <row r="25" spans="1:8" x14ac:dyDescent="0.25">
      <c r="A25" s="230">
        <v>1830</v>
      </c>
      <c r="B25" s="188" t="s">
        <v>130</v>
      </c>
      <c r="C25" s="186">
        <v>199574</v>
      </c>
      <c r="D25" s="226">
        <v>26.668713963399348</v>
      </c>
      <c r="E25" s="193">
        <v>3.7497121209984816E-2</v>
      </c>
      <c r="F25" s="190">
        <v>414492.34217272553</v>
      </c>
      <c r="G25" s="186">
        <v>379289.68716666661</v>
      </c>
      <c r="H25" s="190">
        <f t="shared" si="0"/>
        <v>35202.655006058922</v>
      </c>
    </row>
    <row r="26" spans="1:8" x14ac:dyDescent="0.25">
      <c r="A26" s="230">
        <v>1835</v>
      </c>
      <c r="B26" s="188" t="s">
        <v>131</v>
      </c>
      <c r="C26" s="186">
        <v>538734</v>
      </c>
      <c r="D26" s="226">
        <v>19.180230871860317</v>
      </c>
      <c r="E26" s="193">
        <v>5.2137015799278992E-2</v>
      </c>
      <c r="F26" s="190">
        <v>304064.17634717532</v>
      </c>
      <c r="G26" s="186">
        <v>304107.60372222221</v>
      </c>
      <c r="H26" s="190">
        <f t="shared" si="0"/>
        <v>-43.427375046885572</v>
      </c>
    </row>
    <row r="27" spans="1:8" x14ac:dyDescent="0.25">
      <c r="A27" s="230">
        <v>1840</v>
      </c>
      <c r="B27" s="188" t="s">
        <v>132</v>
      </c>
      <c r="C27" s="186">
        <v>91220</v>
      </c>
      <c r="D27" s="226">
        <v>50.06494117647059</v>
      </c>
      <c r="E27" s="193">
        <v>1.9974057224499003E-2</v>
      </c>
      <c r="F27" s="190">
        <v>242196.87030454513</v>
      </c>
      <c r="G27" s="186">
        <v>242272.52104545454</v>
      </c>
      <c r="H27" s="190">
        <f t="shared" si="0"/>
        <v>-75.650740909419255</v>
      </c>
    </row>
    <row r="28" spans="1:8" x14ac:dyDescent="0.25">
      <c r="A28" s="230">
        <v>1845</v>
      </c>
      <c r="B28" s="188" t="s">
        <v>133</v>
      </c>
      <c r="C28" s="186">
        <v>1205568</v>
      </c>
      <c r="D28" s="226">
        <v>34.434509160514082</v>
      </c>
      <c r="E28" s="193">
        <v>2.9040634653410308E-2</v>
      </c>
      <c r="F28" s="190">
        <v>686246.3780968166</v>
      </c>
      <c r="G28" s="186">
        <v>690988.38757142855</v>
      </c>
      <c r="H28" s="190">
        <f t="shared" si="0"/>
        <v>-4742.0094746119576</v>
      </c>
    </row>
    <row r="29" spans="1:8" x14ac:dyDescent="0.25">
      <c r="A29" s="230">
        <v>1850</v>
      </c>
      <c r="B29" s="188" t="s">
        <v>134</v>
      </c>
      <c r="C29" s="186">
        <v>498978</v>
      </c>
      <c r="D29" s="226">
        <v>39.520478229259233</v>
      </c>
      <c r="E29" s="193">
        <v>2.5303337530456393E-2</v>
      </c>
      <c r="F29" s="190">
        <v>492204.23159973277</v>
      </c>
      <c r="G29" s="186">
        <v>493162.52015476191</v>
      </c>
      <c r="H29" s="190">
        <f t="shared" si="0"/>
        <v>-958.28855502913939</v>
      </c>
    </row>
    <row r="30" spans="1:8" x14ac:dyDescent="0.25">
      <c r="A30" s="230">
        <v>1855</v>
      </c>
      <c r="B30" s="188" t="s">
        <v>135</v>
      </c>
      <c r="C30" s="186">
        <v>267585</v>
      </c>
      <c r="D30" s="226">
        <v>25</v>
      </c>
      <c r="E30" s="193">
        <v>0.04</v>
      </c>
      <c r="F30" s="190">
        <v>93949.784800000009</v>
      </c>
      <c r="G30" s="186">
        <v>94075.969200000007</v>
      </c>
      <c r="H30" s="190">
        <f t="shared" si="0"/>
        <v>-126.18439999999828</v>
      </c>
    </row>
    <row r="31" spans="1:8" x14ac:dyDescent="0.25">
      <c r="A31" s="230">
        <v>1860</v>
      </c>
      <c r="B31" s="188" t="s">
        <v>136</v>
      </c>
      <c r="C31" s="186">
        <v>90508</v>
      </c>
      <c r="D31" s="226">
        <v>30.177104377104378</v>
      </c>
      <c r="E31" s="193">
        <v>3.3137705576506818E-2</v>
      </c>
      <c r="F31" s="190">
        <v>251302.43746964401</v>
      </c>
      <c r="G31" s="186">
        <v>237565.76693333336</v>
      </c>
      <c r="H31" s="190">
        <f t="shared" si="0"/>
        <v>13736.670536310645</v>
      </c>
    </row>
    <row r="32" spans="1:8" x14ac:dyDescent="0.25">
      <c r="A32" s="194">
        <v>1860</v>
      </c>
      <c r="B32" s="187" t="s">
        <v>137</v>
      </c>
      <c r="C32" s="186">
        <v>0</v>
      </c>
      <c r="D32" s="226">
        <v>0</v>
      </c>
      <c r="E32" s="193">
        <v>0</v>
      </c>
      <c r="F32" s="190">
        <v>375872</v>
      </c>
      <c r="G32" s="186">
        <v>371730</v>
      </c>
      <c r="H32" s="190">
        <f t="shared" si="0"/>
        <v>4142</v>
      </c>
    </row>
    <row r="33" spans="1:8" x14ac:dyDescent="0.25">
      <c r="A33" s="194">
        <v>1905</v>
      </c>
      <c r="B33" s="187" t="s">
        <v>124</v>
      </c>
      <c r="C33" s="186">
        <v>0</v>
      </c>
      <c r="D33" s="226">
        <v>0</v>
      </c>
      <c r="E33" s="193">
        <v>0</v>
      </c>
      <c r="F33" s="190">
        <v>0</v>
      </c>
      <c r="G33" s="186">
        <v>0</v>
      </c>
      <c r="H33" s="190">
        <f t="shared" si="0"/>
        <v>0</v>
      </c>
    </row>
    <row r="34" spans="1:8" x14ac:dyDescent="0.25">
      <c r="A34" s="230">
        <v>1908</v>
      </c>
      <c r="B34" s="188" t="s">
        <v>138</v>
      </c>
      <c r="C34" s="186">
        <v>0</v>
      </c>
      <c r="D34" s="226">
        <v>0</v>
      </c>
      <c r="E34" s="193">
        <v>0</v>
      </c>
      <c r="F34" s="190">
        <v>0</v>
      </c>
      <c r="G34" s="186">
        <v>0</v>
      </c>
      <c r="H34" s="190">
        <f t="shared" si="0"/>
        <v>0</v>
      </c>
    </row>
    <row r="35" spans="1:8" x14ac:dyDescent="0.25">
      <c r="A35" s="230">
        <v>1910</v>
      </c>
      <c r="B35" s="188" t="s">
        <v>126</v>
      </c>
      <c r="C35" s="186">
        <v>0</v>
      </c>
      <c r="D35" s="226">
        <v>0</v>
      </c>
      <c r="E35" s="193">
        <v>0</v>
      </c>
      <c r="F35" s="190">
        <v>5984.9059999999999</v>
      </c>
      <c r="G35" s="186">
        <v>6278.6666666666661</v>
      </c>
      <c r="H35" s="190">
        <f t="shared" si="0"/>
        <v>-293.76066666666611</v>
      </c>
    </row>
    <row r="36" spans="1:8" x14ac:dyDescent="0.25">
      <c r="A36" s="230">
        <v>1915</v>
      </c>
      <c r="B36" s="188" t="s">
        <v>139</v>
      </c>
      <c r="C36" s="186">
        <v>0</v>
      </c>
      <c r="D36" s="226">
        <v>0</v>
      </c>
      <c r="E36" s="193">
        <v>0</v>
      </c>
      <c r="F36" s="190">
        <v>3145.3670000000002</v>
      </c>
      <c r="G36" s="186">
        <v>3169.3420000000001</v>
      </c>
      <c r="H36" s="190">
        <f t="shared" si="0"/>
        <v>-23.974999999999909</v>
      </c>
    </row>
    <row r="37" spans="1:8" x14ac:dyDescent="0.25">
      <c r="A37" s="230">
        <v>1915</v>
      </c>
      <c r="B37" s="188" t="s">
        <v>140</v>
      </c>
      <c r="C37" s="186">
        <v>0</v>
      </c>
      <c r="D37" s="226">
        <v>0</v>
      </c>
      <c r="E37" s="193">
        <v>0</v>
      </c>
      <c r="F37" s="190">
        <v>0</v>
      </c>
      <c r="G37" s="186">
        <v>0</v>
      </c>
      <c r="H37" s="190">
        <f t="shared" si="0"/>
        <v>0</v>
      </c>
    </row>
    <row r="38" spans="1:8" x14ac:dyDescent="0.25">
      <c r="A38" s="230">
        <v>1920</v>
      </c>
      <c r="B38" s="188" t="s">
        <v>141</v>
      </c>
      <c r="C38" s="186">
        <v>0</v>
      </c>
      <c r="D38" s="226">
        <v>0</v>
      </c>
      <c r="E38" s="193">
        <v>0</v>
      </c>
      <c r="F38" s="190">
        <v>0</v>
      </c>
      <c r="G38" s="186">
        <v>0</v>
      </c>
      <c r="H38" s="190">
        <f t="shared" si="0"/>
        <v>0</v>
      </c>
    </row>
    <row r="39" spans="1:8" x14ac:dyDescent="0.25">
      <c r="A39" s="195">
        <v>1920</v>
      </c>
      <c r="B39" s="185" t="s">
        <v>142</v>
      </c>
      <c r="C39" s="186">
        <v>0</v>
      </c>
      <c r="D39" s="226">
        <v>0</v>
      </c>
      <c r="E39" s="193">
        <v>0</v>
      </c>
      <c r="F39" s="190">
        <v>0</v>
      </c>
      <c r="G39" s="186">
        <v>0</v>
      </c>
      <c r="H39" s="190">
        <f t="shared" si="0"/>
        <v>0</v>
      </c>
    </row>
    <row r="40" spans="1:8" x14ac:dyDescent="0.25">
      <c r="A40" s="195">
        <v>1920</v>
      </c>
      <c r="B40" s="185" t="s">
        <v>143</v>
      </c>
      <c r="C40" s="186">
        <v>35800</v>
      </c>
      <c r="D40" s="226">
        <v>4</v>
      </c>
      <c r="E40" s="193">
        <v>0.25</v>
      </c>
      <c r="F40" s="190">
        <v>36376.752500000002</v>
      </c>
      <c r="G40" s="186">
        <v>30374.3475</v>
      </c>
      <c r="H40" s="190">
        <f t="shared" si="0"/>
        <v>6002.4050000000025</v>
      </c>
    </row>
    <row r="41" spans="1:8" x14ac:dyDescent="0.25">
      <c r="A41" s="230">
        <v>1930</v>
      </c>
      <c r="B41" s="188" t="s">
        <v>144</v>
      </c>
      <c r="C41" s="186">
        <v>325000</v>
      </c>
      <c r="D41" s="226">
        <v>9.6969696969696972</v>
      </c>
      <c r="E41" s="193">
        <v>0.10312499999999999</v>
      </c>
      <c r="F41" s="190">
        <v>216420.72579146389</v>
      </c>
      <c r="G41" s="186">
        <v>214427.54692307694</v>
      </c>
      <c r="H41" s="190">
        <f t="shared" si="0"/>
        <v>1993.1788683869527</v>
      </c>
    </row>
    <row r="42" spans="1:8" x14ac:dyDescent="0.25">
      <c r="A42" s="230">
        <v>1935</v>
      </c>
      <c r="B42" s="188" t="s">
        <v>145</v>
      </c>
      <c r="C42" s="186">
        <v>0</v>
      </c>
      <c r="D42" s="226">
        <v>0</v>
      </c>
      <c r="E42" s="193">
        <v>0</v>
      </c>
      <c r="F42" s="190">
        <v>518.42499999999995</v>
      </c>
      <c r="G42" s="186">
        <v>518</v>
      </c>
      <c r="H42" s="190">
        <f t="shared" si="0"/>
        <v>0.42499999999995453</v>
      </c>
    </row>
    <row r="43" spans="1:8" x14ac:dyDescent="0.25">
      <c r="A43" s="230">
        <v>1940</v>
      </c>
      <c r="B43" s="188" t="s">
        <v>146</v>
      </c>
      <c r="C43" s="186">
        <v>25000</v>
      </c>
      <c r="D43" s="226">
        <v>10</v>
      </c>
      <c r="E43" s="193">
        <v>0.1</v>
      </c>
      <c r="F43" s="190">
        <v>19973.963000000003</v>
      </c>
      <c r="G43" s="186">
        <v>19287.216</v>
      </c>
      <c r="H43" s="190">
        <f t="shared" si="0"/>
        <v>686.74700000000303</v>
      </c>
    </row>
    <row r="44" spans="1:8" x14ac:dyDescent="0.25">
      <c r="A44" s="230">
        <v>1945</v>
      </c>
      <c r="B44" s="188" t="s">
        <v>147</v>
      </c>
      <c r="C44" s="186">
        <v>0</v>
      </c>
      <c r="D44" s="226">
        <v>0</v>
      </c>
      <c r="E44" s="193">
        <v>0</v>
      </c>
      <c r="F44" s="190">
        <v>811.44900000000007</v>
      </c>
      <c r="G44" s="186">
        <v>812</v>
      </c>
      <c r="H44" s="190">
        <f t="shared" si="0"/>
        <v>-0.55099999999993088</v>
      </c>
    </row>
    <row r="45" spans="1:8" x14ac:dyDescent="0.25">
      <c r="A45" s="230">
        <v>1950</v>
      </c>
      <c r="B45" s="188" t="s">
        <v>148</v>
      </c>
      <c r="C45" s="186">
        <v>0</v>
      </c>
      <c r="D45" s="226">
        <v>0</v>
      </c>
      <c r="E45" s="193">
        <v>0</v>
      </c>
      <c r="F45" s="190">
        <v>0</v>
      </c>
      <c r="G45" s="186">
        <v>0</v>
      </c>
      <c r="H45" s="190">
        <f t="shared" si="0"/>
        <v>0</v>
      </c>
    </row>
    <row r="46" spans="1:8" x14ac:dyDescent="0.25">
      <c r="A46" s="230">
        <v>1955</v>
      </c>
      <c r="B46" s="188" t="s">
        <v>149</v>
      </c>
      <c r="C46" s="186">
        <v>0</v>
      </c>
      <c r="D46" s="226">
        <v>0</v>
      </c>
      <c r="E46" s="193">
        <v>0</v>
      </c>
      <c r="F46" s="190">
        <v>7517.5259999999998</v>
      </c>
      <c r="G46" s="186">
        <v>12054</v>
      </c>
      <c r="H46" s="190">
        <f t="shared" si="0"/>
        <v>-4536.4740000000002</v>
      </c>
    </row>
    <row r="47" spans="1:8" x14ac:dyDescent="0.25">
      <c r="A47" s="196">
        <v>1955</v>
      </c>
      <c r="B47" s="189" t="s">
        <v>150</v>
      </c>
      <c r="C47" s="186">
        <v>0</v>
      </c>
      <c r="D47" s="226">
        <v>0</v>
      </c>
      <c r="E47" s="193">
        <v>0</v>
      </c>
      <c r="F47" s="190">
        <v>0</v>
      </c>
      <c r="G47" s="186">
        <v>0</v>
      </c>
      <c r="H47" s="190">
        <f t="shared" si="0"/>
        <v>0</v>
      </c>
    </row>
    <row r="48" spans="1:8" x14ac:dyDescent="0.25">
      <c r="A48" s="195">
        <v>1960</v>
      </c>
      <c r="B48" s="185" t="s">
        <v>151</v>
      </c>
      <c r="C48" s="186">
        <v>0</v>
      </c>
      <c r="D48" s="226">
        <v>0</v>
      </c>
      <c r="E48" s="193">
        <v>0</v>
      </c>
      <c r="F48" s="190">
        <v>0</v>
      </c>
      <c r="G48" s="186">
        <v>0</v>
      </c>
      <c r="H48" s="190">
        <f t="shared" si="0"/>
        <v>0</v>
      </c>
    </row>
    <row r="49" spans="1:9" x14ac:dyDescent="0.25">
      <c r="A49" s="195">
        <v>1970</v>
      </c>
      <c r="B49" s="228" t="s">
        <v>182</v>
      </c>
      <c r="C49" s="186">
        <v>0</v>
      </c>
      <c r="D49" s="226">
        <v>0</v>
      </c>
      <c r="E49" s="193">
        <v>0</v>
      </c>
      <c r="F49" s="190">
        <v>0</v>
      </c>
      <c r="G49" s="186">
        <v>0</v>
      </c>
      <c r="H49" s="190">
        <f t="shared" si="0"/>
        <v>0</v>
      </c>
      <c r="I49" s="177"/>
    </row>
    <row r="50" spans="1:9" x14ac:dyDescent="0.25">
      <c r="A50" s="230">
        <v>1975</v>
      </c>
      <c r="B50" s="188" t="s">
        <v>153</v>
      </c>
      <c r="C50" s="186">
        <v>0</v>
      </c>
      <c r="D50" s="226">
        <v>0</v>
      </c>
      <c r="E50" s="193">
        <v>0</v>
      </c>
      <c r="F50" s="190">
        <v>0</v>
      </c>
      <c r="G50" s="186">
        <v>0</v>
      </c>
      <c r="H50" s="190">
        <f t="shared" si="0"/>
        <v>0</v>
      </c>
      <c r="I50" s="177"/>
    </row>
    <row r="51" spans="1:9" x14ac:dyDescent="0.25">
      <c r="A51" s="230">
        <v>1980</v>
      </c>
      <c r="B51" s="188" t="s">
        <v>154</v>
      </c>
      <c r="C51" s="186">
        <v>77968</v>
      </c>
      <c r="D51" s="226">
        <v>15</v>
      </c>
      <c r="E51" s="193">
        <v>6.6666666666666666E-2</v>
      </c>
      <c r="F51" s="190">
        <v>68088.467333333334</v>
      </c>
      <c r="G51" s="186">
        <v>68088.764666666684</v>
      </c>
      <c r="H51" s="190">
        <f t="shared" si="0"/>
        <v>-0.29733333335025236</v>
      </c>
      <c r="I51" s="177"/>
    </row>
    <row r="52" spans="1:9" x14ac:dyDescent="0.25">
      <c r="A52" s="230">
        <v>1985</v>
      </c>
      <c r="B52" s="188" t="s">
        <v>155</v>
      </c>
      <c r="C52" s="186">
        <v>0</v>
      </c>
      <c r="D52" s="226">
        <v>0</v>
      </c>
      <c r="E52" s="193">
        <v>0</v>
      </c>
      <c r="F52" s="190">
        <v>0</v>
      </c>
      <c r="G52" s="186">
        <v>0</v>
      </c>
      <c r="H52" s="190">
        <f t="shared" si="0"/>
        <v>0</v>
      </c>
      <c r="I52" s="177"/>
    </row>
    <row r="53" spans="1:9" x14ac:dyDescent="0.25">
      <c r="A53" s="230">
        <v>1990</v>
      </c>
      <c r="B53" s="229" t="s">
        <v>156</v>
      </c>
      <c r="C53" s="186">
        <v>0</v>
      </c>
      <c r="D53" s="226">
        <v>0</v>
      </c>
      <c r="E53" s="193">
        <v>0</v>
      </c>
      <c r="F53" s="190">
        <v>0</v>
      </c>
      <c r="G53" s="186">
        <v>0</v>
      </c>
      <c r="H53" s="190">
        <f t="shared" si="0"/>
        <v>0</v>
      </c>
      <c r="I53" s="177"/>
    </row>
    <row r="54" spans="1:9" ht="15.75" thickBot="1" x14ac:dyDescent="0.3">
      <c r="A54" s="230">
        <v>1995</v>
      </c>
      <c r="B54" s="188" t="s">
        <v>157</v>
      </c>
      <c r="C54" s="186">
        <v>-479000</v>
      </c>
      <c r="D54" s="226">
        <v>39.787357753966276</v>
      </c>
      <c r="E54" s="197">
        <v>2.5133611691022965E-2</v>
      </c>
      <c r="F54" s="190">
        <v>-148511.81113071748</v>
      </c>
      <c r="G54" s="186">
        <v>-154867</v>
      </c>
      <c r="H54" s="207">
        <f t="shared" si="0"/>
        <v>6355.188869282516</v>
      </c>
      <c r="I54" s="177"/>
    </row>
    <row r="55" spans="1:9" ht="16.5" thickTop="1" thickBot="1" x14ac:dyDescent="0.3">
      <c r="A55" s="198"/>
      <c r="B55" s="199" t="s">
        <v>80</v>
      </c>
      <c r="C55" s="200">
        <f>SUM(C17:C54)</f>
        <v>3828988</v>
      </c>
      <c r="D55" s="214"/>
      <c r="E55" s="201"/>
      <c r="F55" s="200">
        <f>SUM(F17:F54)</f>
        <v>3536653.9802847188</v>
      </c>
      <c r="G55" s="200">
        <f>SUM(G17:G54)</f>
        <v>3503506.2217725003</v>
      </c>
      <c r="H55" s="200">
        <f>SUM(H17:H54)</f>
        <v>33147.758512219378</v>
      </c>
      <c r="I55" s="177"/>
    </row>
    <row r="56" spans="1:9" x14ac:dyDescent="0.25">
      <c r="A56" s="208"/>
      <c r="B56" s="215" t="s">
        <v>198</v>
      </c>
      <c r="C56" s="216"/>
      <c r="D56" s="216"/>
      <c r="E56" s="216"/>
      <c r="F56" s="186">
        <v>100000</v>
      </c>
      <c r="G56" s="209"/>
      <c r="H56" s="209"/>
      <c r="I56" s="177"/>
    </row>
    <row r="57" spans="1:9" x14ac:dyDescent="0.25">
      <c r="A57" s="177"/>
      <c r="B57" s="1084" t="s">
        <v>199</v>
      </c>
      <c r="C57" s="1084"/>
      <c r="D57" s="1084"/>
      <c r="E57" s="1085"/>
      <c r="F57" s="190">
        <f>F55+F56</f>
        <v>3636653.9802847188</v>
      </c>
      <c r="G57" s="1030"/>
      <c r="H57" s="177"/>
      <c r="I57" s="177"/>
    </row>
    <row r="58" spans="1:9" x14ac:dyDescent="0.25">
      <c r="A58" s="182" t="s">
        <v>82</v>
      </c>
      <c r="B58" s="180"/>
      <c r="C58" s="180"/>
      <c r="D58" s="180"/>
      <c r="E58" s="180"/>
      <c r="F58" s="180"/>
      <c r="G58" s="180"/>
      <c r="H58" s="180"/>
      <c r="I58" s="177"/>
    </row>
    <row r="59" spans="1:9" x14ac:dyDescent="0.25">
      <c r="A59" s="213">
        <v>1</v>
      </c>
      <c r="B59" s="1068" t="s">
        <v>183</v>
      </c>
      <c r="C59" s="1068"/>
      <c r="D59" s="1068"/>
      <c r="E59" s="1068"/>
      <c r="F59" s="1068"/>
      <c r="G59" s="1068"/>
      <c r="H59" s="1068"/>
      <c r="I59" s="231"/>
    </row>
    <row r="60" spans="1:9" x14ac:dyDescent="0.25">
      <c r="A60" s="210">
        <v>2</v>
      </c>
      <c r="B60" s="1068" t="s">
        <v>184</v>
      </c>
      <c r="C60" s="1068"/>
      <c r="D60" s="1068"/>
      <c r="E60" s="1068"/>
      <c r="F60" s="1068"/>
      <c r="G60" s="1068"/>
      <c r="H60" s="1068"/>
      <c r="I60" s="1068"/>
    </row>
    <row r="61" spans="1:9" x14ac:dyDescent="0.25">
      <c r="A61" s="210"/>
      <c r="B61" s="1068"/>
      <c r="C61" s="1068"/>
      <c r="D61" s="1068"/>
      <c r="E61" s="1068"/>
      <c r="F61" s="1068"/>
      <c r="G61" s="1068"/>
      <c r="H61" s="1068"/>
      <c r="I61" s="1068"/>
    </row>
    <row r="62" spans="1:9" x14ac:dyDescent="0.25">
      <c r="A62" s="182" t="s">
        <v>186</v>
      </c>
      <c r="B62" s="1084" t="s">
        <v>187</v>
      </c>
      <c r="C62" s="1084"/>
      <c r="D62" s="1084"/>
      <c r="E62" s="1084"/>
      <c r="F62" s="1084"/>
      <c r="G62" s="1084"/>
      <c r="H62" s="1084"/>
      <c r="I62" s="202"/>
    </row>
    <row r="63" spans="1:9" x14ac:dyDescent="0.25">
      <c r="A63" s="180"/>
      <c r="B63" s="1084"/>
      <c r="C63" s="1084"/>
      <c r="D63" s="1084"/>
      <c r="E63" s="1084"/>
      <c r="F63" s="1084"/>
      <c r="G63" s="1084"/>
      <c r="H63" s="1084"/>
      <c r="I63" s="202"/>
    </row>
    <row r="64" spans="1:9" x14ac:dyDescent="0.25">
      <c r="A64" s="180"/>
      <c r="B64" s="177"/>
      <c r="C64" s="177"/>
      <c r="D64" s="177"/>
      <c r="E64" s="177"/>
      <c r="F64" s="177"/>
      <c r="G64" s="177"/>
      <c r="H64" s="177"/>
      <c r="I64" s="202"/>
    </row>
    <row r="65" spans="1:11" x14ac:dyDescent="0.25">
      <c r="A65" s="177"/>
      <c r="B65" s="177"/>
      <c r="C65" s="177"/>
      <c r="D65" s="177"/>
      <c r="E65" s="177"/>
      <c r="F65" s="177"/>
      <c r="G65" s="177"/>
      <c r="H65" s="177"/>
      <c r="I65" s="177"/>
      <c r="J65" s="222"/>
      <c r="K65" s="222"/>
    </row>
    <row r="66" spans="1:11" x14ac:dyDescent="0.25">
      <c r="A66" s="177"/>
      <c r="B66" s="177"/>
      <c r="C66" s="177"/>
      <c r="D66" s="177"/>
      <c r="E66" s="177"/>
      <c r="F66" s="177"/>
      <c r="G66" s="177"/>
      <c r="H66" s="177"/>
      <c r="I66" s="177"/>
      <c r="J66" s="222"/>
      <c r="K66" s="222"/>
    </row>
    <row r="67" spans="1:11" x14ac:dyDescent="0.25">
      <c r="A67" s="180"/>
      <c r="B67" s="177"/>
      <c r="C67" s="177"/>
      <c r="D67" s="177"/>
      <c r="E67" s="177"/>
      <c r="F67" s="177"/>
      <c r="G67" s="177"/>
      <c r="H67" s="177"/>
      <c r="I67" s="222"/>
      <c r="J67" s="222"/>
      <c r="K67" s="222"/>
    </row>
    <row r="68" spans="1:11" x14ac:dyDescent="0.25">
      <c r="A68" s="231"/>
      <c r="B68" s="231"/>
      <c r="C68" s="231"/>
      <c r="D68" s="231"/>
      <c r="E68" s="231"/>
      <c r="F68" s="180"/>
      <c r="G68" s="180"/>
      <c r="H68" s="180"/>
      <c r="I68" s="177"/>
      <c r="J68" s="177"/>
      <c r="K68" s="177"/>
    </row>
  </sheetData>
  <customSheetViews>
    <customSheetView guid="{FEE3C04B-CD27-4551-A1CF-8272225D231B}">
      <selection activeCell="J11" sqref="J11"/>
      <pageMargins left="0.7" right="0.7" top="0.75" bottom="0.75" header="0.3" footer="0.3"/>
    </customSheetView>
    <customSheetView guid="{957A2981-C0FE-4A89-90AC-F40944F7258F}" topLeftCell="A28">
      <selection activeCell="F17" sqref="F17"/>
      <pageMargins left="0.7" right="0.7" top="0.75" bottom="0.75" header="0.3" footer="0.3"/>
    </customSheetView>
    <customSheetView guid="{AE01795C-0F1A-4D22-B411-4CB1D681CFC8}">
      <selection activeCell="J11" sqref="J11"/>
      <pageMargins left="0.7" right="0.7" top="0.75" bottom="0.75" header="0.3" footer="0.3"/>
    </customSheetView>
  </customSheetViews>
  <mergeCells count="10">
    <mergeCell ref="B59:H59"/>
    <mergeCell ref="B60:I60"/>
    <mergeCell ref="B61:I61"/>
    <mergeCell ref="B62:H63"/>
    <mergeCell ref="B57:E57"/>
    <mergeCell ref="A9:H9"/>
    <mergeCell ref="A10:I10"/>
    <mergeCell ref="A11:H11"/>
    <mergeCell ref="B15:B16"/>
    <mergeCell ref="G15:G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topLeftCell="A178" workbookViewId="0">
      <selection activeCell="B194" sqref="B194"/>
    </sheetView>
  </sheetViews>
  <sheetFormatPr defaultRowHeight="15" x14ac:dyDescent="0.25"/>
  <cols>
    <col min="2" max="2" width="57.140625" bestFit="1" customWidth="1"/>
    <col min="3" max="3" width="11.28515625" bestFit="1" customWidth="1"/>
    <col min="4" max="5" width="12" bestFit="1" customWidth="1"/>
    <col min="6" max="6" width="11.42578125" bestFit="1" customWidth="1"/>
    <col min="7" max="7" width="12.7109375" bestFit="1" customWidth="1"/>
    <col min="8" max="8" width="11.28515625" bestFit="1" customWidth="1"/>
  </cols>
  <sheetData>
    <row r="1" spans="1:9" x14ac:dyDescent="0.25">
      <c r="A1" s="234"/>
      <c r="B1" s="234"/>
      <c r="C1" s="234"/>
      <c r="D1" s="234"/>
      <c r="E1" s="234"/>
      <c r="F1" s="235"/>
      <c r="G1" s="250" t="s">
        <v>0</v>
      </c>
      <c r="H1" s="286">
        <v>0</v>
      </c>
      <c r="I1" s="234"/>
    </row>
    <row r="2" spans="1:9" x14ac:dyDescent="0.25">
      <c r="A2" s="234"/>
      <c r="B2" s="234"/>
      <c r="C2" s="234"/>
      <c r="D2" s="234"/>
      <c r="E2" s="234"/>
      <c r="F2" s="235"/>
      <c r="G2" s="250" t="s">
        <v>1</v>
      </c>
      <c r="H2" s="237"/>
      <c r="I2" s="234"/>
    </row>
    <row r="3" spans="1:9" x14ac:dyDescent="0.25">
      <c r="A3" s="234"/>
      <c r="B3" s="234"/>
      <c r="C3" s="234"/>
      <c r="D3" s="234"/>
      <c r="E3" s="234"/>
      <c r="F3" s="235"/>
      <c r="G3" s="250" t="s">
        <v>2</v>
      </c>
      <c r="H3" s="237"/>
      <c r="I3" s="234"/>
    </row>
    <row r="4" spans="1:9" x14ac:dyDescent="0.25">
      <c r="A4" s="234"/>
      <c r="B4" s="234"/>
      <c r="C4" s="234"/>
      <c r="D4" s="234"/>
      <c r="E4" s="234"/>
      <c r="F4" s="235"/>
      <c r="G4" s="250" t="s">
        <v>3</v>
      </c>
      <c r="H4" s="237"/>
      <c r="I4" s="234"/>
    </row>
    <row r="5" spans="1:9" x14ac:dyDescent="0.25">
      <c r="A5" s="234"/>
      <c r="B5" s="234"/>
      <c r="C5" s="234"/>
      <c r="D5" s="234"/>
      <c r="E5" s="234"/>
      <c r="F5" s="235"/>
      <c r="G5" s="250" t="s">
        <v>4</v>
      </c>
      <c r="H5" s="238"/>
      <c r="I5" s="234"/>
    </row>
    <row r="6" spans="1:9" x14ac:dyDescent="0.25">
      <c r="A6" s="234"/>
      <c r="B6" s="234"/>
      <c r="C6" s="234"/>
      <c r="D6" s="234"/>
      <c r="E6" s="234"/>
      <c r="F6" s="235"/>
      <c r="G6" s="250"/>
      <c r="H6" s="236"/>
      <c r="I6" s="234"/>
    </row>
    <row r="7" spans="1:9" x14ac:dyDescent="0.25">
      <c r="A7" s="234"/>
      <c r="B7" s="234"/>
      <c r="C7" s="234"/>
      <c r="D7" s="234"/>
      <c r="E7" s="234"/>
      <c r="F7" s="235"/>
      <c r="G7" s="250" t="s">
        <v>5</v>
      </c>
      <c r="H7" s="238"/>
      <c r="I7" s="234"/>
    </row>
    <row r="8" spans="1:9" x14ac:dyDescent="0.25">
      <c r="A8" s="234"/>
      <c r="B8" s="234"/>
      <c r="C8" s="234"/>
      <c r="D8" s="234"/>
      <c r="E8" s="234"/>
      <c r="F8" s="234"/>
      <c r="G8" s="284"/>
      <c r="H8" s="234"/>
      <c r="I8" s="234"/>
    </row>
    <row r="9" spans="1:9" ht="18" x14ac:dyDescent="0.25">
      <c r="A9" s="1091" t="s">
        <v>204</v>
      </c>
      <c r="B9" s="1091"/>
      <c r="C9" s="1091"/>
      <c r="D9" s="1091"/>
      <c r="E9" s="1091"/>
      <c r="F9" s="1091"/>
      <c r="G9" s="1091"/>
      <c r="H9" s="1091"/>
      <c r="I9" s="234"/>
    </row>
    <row r="10" spans="1:9" ht="18" x14ac:dyDescent="0.25">
      <c r="A10" s="1091" t="s">
        <v>205</v>
      </c>
      <c r="B10" s="1091"/>
      <c r="C10" s="1091"/>
      <c r="D10" s="1091"/>
      <c r="E10" s="1091"/>
      <c r="F10" s="1091"/>
      <c r="G10" s="1091"/>
      <c r="H10" s="1091"/>
      <c r="I10" s="234"/>
    </row>
    <row r="11" spans="1:9" ht="15.75" thickBot="1" x14ac:dyDescent="0.3">
      <c r="A11" s="234"/>
      <c r="B11" s="234"/>
      <c r="C11" s="234"/>
      <c r="D11" s="234"/>
      <c r="E11" s="234"/>
      <c r="F11" s="234"/>
      <c r="G11" s="234"/>
      <c r="H11" s="234"/>
      <c r="I11" s="234"/>
    </row>
    <row r="12" spans="1:9" x14ac:dyDescent="0.25">
      <c r="A12" s="251" t="s">
        <v>206</v>
      </c>
      <c r="B12" s="252" t="s">
        <v>207</v>
      </c>
      <c r="C12" s="288" t="s">
        <v>208</v>
      </c>
      <c r="D12" s="288" t="s">
        <v>209</v>
      </c>
      <c r="E12" s="288" t="s">
        <v>209</v>
      </c>
      <c r="F12" s="288" t="s">
        <v>210</v>
      </c>
      <c r="G12" s="287" t="s">
        <v>211</v>
      </c>
      <c r="H12" s="253" t="s">
        <v>212</v>
      </c>
      <c r="I12" s="234"/>
    </row>
    <row r="13" spans="1:9" x14ac:dyDescent="0.25">
      <c r="A13" s="254"/>
      <c r="B13" s="255"/>
      <c r="C13" s="256">
        <v>2013</v>
      </c>
      <c r="D13" s="256">
        <v>2014</v>
      </c>
      <c r="E13" s="256">
        <v>2014</v>
      </c>
      <c r="F13" s="257">
        <v>2015</v>
      </c>
      <c r="G13" s="257">
        <v>2016</v>
      </c>
      <c r="H13" s="258">
        <v>2017</v>
      </c>
      <c r="I13" s="234"/>
    </row>
    <row r="14" spans="1:9" x14ac:dyDescent="0.25">
      <c r="A14" s="254"/>
      <c r="B14" s="259" t="s">
        <v>11</v>
      </c>
      <c r="C14" s="239" t="s">
        <v>12</v>
      </c>
      <c r="D14" s="239" t="s">
        <v>12</v>
      </c>
      <c r="E14" s="239" t="s">
        <v>13</v>
      </c>
      <c r="F14" s="239" t="s">
        <v>13</v>
      </c>
      <c r="G14" s="260" t="s">
        <v>13</v>
      </c>
      <c r="H14" s="261" t="s">
        <v>13</v>
      </c>
      <c r="I14" s="234"/>
    </row>
    <row r="15" spans="1:9" x14ac:dyDescent="0.25">
      <c r="A15" s="262">
        <v>4235</v>
      </c>
      <c r="B15" s="263" t="s">
        <v>213</v>
      </c>
      <c r="C15" s="241">
        <v>-441756.25000000006</v>
      </c>
      <c r="D15" s="241">
        <v>-539109.35</v>
      </c>
      <c r="E15" s="241">
        <v>-539109.35</v>
      </c>
      <c r="F15" s="241">
        <v>-650019.23</v>
      </c>
      <c r="G15" s="241">
        <v>-520272</v>
      </c>
      <c r="H15" s="241">
        <v>-651902.94999999995</v>
      </c>
      <c r="I15" s="249"/>
    </row>
    <row r="16" spans="1:9" x14ac:dyDescent="0.25">
      <c r="A16" s="262">
        <v>4225</v>
      </c>
      <c r="B16" s="263" t="s">
        <v>214</v>
      </c>
      <c r="C16" s="241">
        <v>-152694.57</v>
      </c>
      <c r="D16" s="241">
        <v>-207146.27000000002</v>
      </c>
      <c r="E16" s="241">
        <v>-207146.27000000002</v>
      </c>
      <c r="F16" s="241">
        <v>-219013.94</v>
      </c>
      <c r="G16" s="241">
        <v>-226236</v>
      </c>
      <c r="H16" s="241">
        <v>-235599</v>
      </c>
      <c r="I16" s="249"/>
    </row>
    <row r="17" spans="1:9" x14ac:dyDescent="0.25">
      <c r="A17" s="262">
        <v>4080</v>
      </c>
      <c r="B17" s="263" t="s">
        <v>215</v>
      </c>
      <c r="C17" s="241">
        <v>-106572</v>
      </c>
      <c r="D17" s="241">
        <v>-108547</v>
      </c>
      <c r="E17" s="241">
        <v>-108547</v>
      </c>
      <c r="F17" s="241">
        <v>-111559</v>
      </c>
      <c r="G17" s="241">
        <v>-110820</v>
      </c>
      <c r="H17" s="241">
        <v>-111730</v>
      </c>
      <c r="I17" s="249"/>
    </row>
    <row r="18" spans="1:9" x14ac:dyDescent="0.25">
      <c r="A18" s="262">
        <v>4082</v>
      </c>
      <c r="B18" s="263" t="s">
        <v>216</v>
      </c>
      <c r="C18" s="241">
        <v>-36887.78</v>
      </c>
      <c r="D18" s="241">
        <v>-46482.63</v>
      </c>
      <c r="E18" s="241">
        <v>-46482.63</v>
      </c>
      <c r="F18" s="241">
        <v>-44303.43</v>
      </c>
      <c r="G18" s="241">
        <v>-41369</v>
      </c>
      <c r="H18" s="241">
        <v>-41376</v>
      </c>
      <c r="I18" s="249"/>
    </row>
    <row r="19" spans="1:9" x14ac:dyDescent="0.25">
      <c r="A19" s="283">
        <v>4084</v>
      </c>
      <c r="B19" s="282" t="s">
        <v>217</v>
      </c>
      <c r="C19" s="241">
        <v>-17102.849999999999</v>
      </c>
      <c r="D19" s="241">
        <v>-16256.59</v>
      </c>
      <c r="E19" s="241">
        <v>-16256.59</v>
      </c>
      <c r="F19" s="241">
        <v>-15882.16</v>
      </c>
      <c r="G19" s="241">
        <v>-9506</v>
      </c>
      <c r="H19" s="241">
        <v>-9589</v>
      </c>
      <c r="I19" s="249"/>
    </row>
    <row r="20" spans="1:9" x14ac:dyDescent="0.25">
      <c r="A20" s="283">
        <v>4090</v>
      </c>
      <c r="B20" s="282" t="s">
        <v>218</v>
      </c>
      <c r="C20" s="241">
        <v>0</v>
      </c>
      <c r="D20" s="241">
        <v>0</v>
      </c>
      <c r="E20" s="289">
        <v>0</v>
      </c>
      <c r="F20" s="241">
        <v>0</v>
      </c>
      <c r="G20" s="241">
        <v>0</v>
      </c>
      <c r="H20" s="241">
        <v>0</v>
      </c>
      <c r="I20" s="249"/>
    </row>
    <row r="21" spans="1:9" x14ac:dyDescent="0.25">
      <c r="A21" s="283">
        <v>4205</v>
      </c>
      <c r="B21" s="282" t="s">
        <v>219</v>
      </c>
      <c r="C21" s="241">
        <v>0</v>
      </c>
      <c r="D21" s="241">
        <v>0</v>
      </c>
      <c r="E21" s="241">
        <v>0</v>
      </c>
      <c r="F21" s="241">
        <v>0</v>
      </c>
      <c r="G21" s="241">
        <v>0</v>
      </c>
      <c r="H21" s="241">
        <v>0</v>
      </c>
      <c r="I21" s="249"/>
    </row>
    <row r="22" spans="1:9" x14ac:dyDescent="0.25">
      <c r="A22" s="283">
        <v>4210</v>
      </c>
      <c r="B22" s="290" t="s">
        <v>220</v>
      </c>
      <c r="C22" s="241">
        <v>-107996.36</v>
      </c>
      <c r="D22" s="241">
        <v>-108644.69</v>
      </c>
      <c r="E22" s="241">
        <v>-108644.69</v>
      </c>
      <c r="F22" s="241">
        <v>-109739.87</v>
      </c>
      <c r="G22" s="241">
        <v>-99527</v>
      </c>
      <c r="H22" s="241">
        <v>-101517</v>
      </c>
      <c r="I22" s="249"/>
    </row>
    <row r="23" spans="1:9" x14ac:dyDescent="0.25">
      <c r="A23" s="283">
        <v>4215</v>
      </c>
      <c r="B23" s="282" t="s">
        <v>221</v>
      </c>
      <c r="C23" s="241">
        <v>0</v>
      </c>
      <c r="D23" s="241">
        <v>0</v>
      </c>
      <c r="E23" s="241">
        <v>0</v>
      </c>
      <c r="F23" s="241">
        <v>0</v>
      </c>
      <c r="G23" s="241">
        <v>0</v>
      </c>
      <c r="H23" s="241">
        <v>0</v>
      </c>
      <c r="I23" s="249"/>
    </row>
    <row r="24" spans="1:9" x14ac:dyDescent="0.25">
      <c r="A24" s="283">
        <v>4220</v>
      </c>
      <c r="B24" s="291" t="s">
        <v>222</v>
      </c>
      <c r="C24" s="241">
        <v>0</v>
      </c>
      <c r="D24" s="241">
        <v>929.24</v>
      </c>
      <c r="E24" s="241">
        <v>929.24</v>
      </c>
      <c r="F24" s="241">
        <v>0</v>
      </c>
      <c r="G24" s="241">
        <v>0</v>
      </c>
      <c r="H24" s="241">
        <v>0</v>
      </c>
      <c r="I24" s="249"/>
    </row>
    <row r="25" spans="1:9" x14ac:dyDescent="0.25">
      <c r="A25" s="283">
        <v>4240</v>
      </c>
      <c r="B25" s="282" t="s">
        <v>223</v>
      </c>
      <c r="C25" s="241">
        <v>0</v>
      </c>
      <c r="D25" s="241">
        <v>0</v>
      </c>
      <c r="E25" s="241">
        <v>0</v>
      </c>
      <c r="F25" s="241">
        <v>0</v>
      </c>
      <c r="G25" s="241">
        <v>0</v>
      </c>
      <c r="H25" s="241">
        <v>0</v>
      </c>
      <c r="I25" s="249"/>
    </row>
    <row r="26" spans="1:9" x14ac:dyDescent="0.25">
      <c r="A26" s="283">
        <v>4245</v>
      </c>
      <c r="B26" s="282" t="s">
        <v>224</v>
      </c>
      <c r="C26" s="241">
        <v>0</v>
      </c>
      <c r="D26" s="241">
        <v>0</v>
      </c>
      <c r="E26" s="241">
        <v>0</v>
      </c>
      <c r="F26" s="241">
        <v>0</v>
      </c>
      <c r="G26" s="241">
        <v>0</v>
      </c>
      <c r="H26" s="241">
        <v>0</v>
      </c>
      <c r="I26" s="249"/>
    </row>
    <row r="27" spans="1:9" x14ac:dyDescent="0.25">
      <c r="A27" s="283">
        <v>4305</v>
      </c>
      <c r="B27" s="282" t="s">
        <v>225</v>
      </c>
      <c r="C27" s="241">
        <v>0</v>
      </c>
      <c r="D27" s="241">
        <v>0</v>
      </c>
      <c r="E27" s="241">
        <v>0</v>
      </c>
      <c r="F27" s="241">
        <v>0</v>
      </c>
      <c r="G27" s="241">
        <v>0</v>
      </c>
      <c r="H27" s="241">
        <v>0</v>
      </c>
      <c r="I27" s="249"/>
    </row>
    <row r="28" spans="1:9" x14ac:dyDescent="0.25">
      <c r="A28" s="283">
        <v>4310</v>
      </c>
      <c r="B28" s="282" t="s">
        <v>226</v>
      </c>
      <c r="C28" s="241">
        <v>0</v>
      </c>
      <c r="D28" s="241">
        <v>0</v>
      </c>
      <c r="E28" s="241">
        <v>0</v>
      </c>
      <c r="F28" s="241">
        <v>0</v>
      </c>
      <c r="G28" s="241">
        <v>0</v>
      </c>
      <c r="H28" s="241">
        <v>0</v>
      </c>
      <c r="I28" s="249"/>
    </row>
    <row r="29" spans="1:9" x14ac:dyDescent="0.25">
      <c r="A29" s="283">
        <v>4315</v>
      </c>
      <c r="B29" s="282" t="s">
        <v>227</v>
      </c>
      <c r="C29" s="241">
        <v>0</v>
      </c>
      <c r="D29" s="241">
        <v>0</v>
      </c>
      <c r="E29" s="241">
        <v>0</v>
      </c>
      <c r="F29" s="241">
        <v>0</v>
      </c>
      <c r="G29" s="241">
        <v>0</v>
      </c>
      <c r="H29" s="241">
        <v>0</v>
      </c>
      <c r="I29" s="249"/>
    </row>
    <row r="30" spans="1:9" x14ac:dyDescent="0.25">
      <c r="A30" s="283">
        <v>4320</v>
      </c>
      <c r="B30" s="282" t="s">
        <v>228</v>
      </c>
      <c r="C30" s="241">
        <v>0</v>
      </c>
      <c r="D30" s="241">
        <v>0</v>
      </c>
      <c r="E30" s="241">
        <v>0</v>
      </c>
      <c r="F30" s="241">
        <v>0</v>
      </c>
      <c r="G30" s="241">
        <v>0</v>
      </c>
      <c r="H30" s="241">
        <v>0</v>
      </c>
      <c r="I30" s="249"/>
    </row>
    <row r="31" spans="1:9" x14ac:dyDescent="0.25">
      <c r="A31" s="283">
        <v>4325</v>
      </c>
      <c r="B31" s="282" t="s">
        <v>229</v>
      </c>
      <c r="C31" s="241">
        <v>0</v>
      </c>
      <c r="D31" s="241">
        <v>0</v>
      </c>
      <c r="E31" s="241">
        <v>0</v>
      </c>
      <c r="F31" s="241">
        <v>0</v>
      </c>
      <c r="G31" s="241">
        <v>0</v>
      </c>
      <c r="H31" s="241">
        <v>0</v>
      </c>
      <c r="I31" s="249"/>
    </row>
    <row r="32" spans="1:9" x14ac:dyDescent="0.25">
      <c r="A32" s="283">
        <v>4330</v>
      </c>
      <c r="B32" s="282" t="s">
        <v>230</v>
      </c>
      <c r="C32" s="241">
        <v>0</v>
      </c>
      <c r="D32" s="241">
        <v>0</v>
      </c>
      <c r="E32" s="241">
        <v>0</v>
      </c>
      <c r="F32" s="241">
        <v>0</v>
      </c>
      <c r="G32" s="241">
        <v>0</v>
      </c>
      <c r="H32" s="241">
        <v>0</v>
      </c>
      <c r="I32" s="249"/>
    </row>
    <row r="33" spans="1:10" x14ac:dyDescent="0.25">
      <c r="A33" s="283">
        <v>4335</v>
      </c>
      <c r="B33" s="282" t="s">
        <v>231</v>
      </c>
      <c r="C33" s="241">
        <v>0</v>
      </c>
      <c r="D33" s="241">
        <v>0</v>
      </c>
      <c r="E33" s="241"/>
      <c r="F33" s="241">
        <v>0</v>
      </c>
      <c r="G33" s="241">
        <v>0</v>
      </c>
      <c r="H33" s="241">
        <v>0</v>
      </c>
      <c r="I33" s="249"/>
      <c r="J33" s="234"/>
    </row>
    <row r="34" spans="1:10" x14ac:dyDescent="0.25">
      <c r="A34" s="283">
        <v>4340</v>
      </c>
      <c r="B34" s="282" t="s">
        <v>232</v>
      </c>
      <c r="C34" s="241">
        <v>0</v>
      </c>
      <c r="D34" s="241">
        <v>0</v>
      </c>
      <c r="E34" s="241">
        <v>0</v>
      </c>
      <c r="F34" s="241">
        <v>0</v>
      </c>
      <c r="G34" s="241">
        <v>0</v>
      </c>
      <c r="H34" s="241">
        <v>0</v>
      </c>
      <c r="I34" s="249"/>
      <c r="J34" s="234"/>
    </row>
    <row r="35" spans="1:10" x14ac:dyDescent="0.25">
      <c r="A35" s="283">
        <v>4345</v>
      </c>
      <c r="B35" s="282" t="s">
        <v>233</v>
      </c>
      <c r="C35" s="241">
        <v>0</v>
      </c>
      <c r="D35" s="241">
        <v>0</v>
      </c>
      <c r="E35" s="241">
        <v>0</v>
      </c>
      <c r="F35" s="241">
        <v>0</v>
      </c>
      <c r="G35" s="241">
        <v>0</v>
      </c>
      <c r="H35" s="241">
        <v>0</v>
      </c>
      <c r="I35" s="249"/>
      <c r="J35" s="234"/>
    </row>
    <row r="36" spans="1:10" x14ac:dyDescent="0.25">
      <c r="A36" s="283">
        <v>4350</v>
      </c>
      <c r="B36" s="282" t="s">
        <v>234</v>
      </c>
      <c r="C36" s="241">
        <v>0</v>
      </c>
      <c r="D36" s="241">
        <v>0</v>
      </c>
      <c r="E36" s="241">
        <v>0</v>
      </c>
      <c r="F36" s="241">
        <v>0</v>
      </c>
      <c r="G36" s="241">
        <v>0</v>
      </c>
      <c r="H36" s="241">
        <v>0</v>
      </c>
      <c r="I36" s="249"/>
      <c r="J36" s="234"/>
    </row>
    <row r="37" spans="1:10" x14ac:dyDescent="0.25">
      <c r="A37" s="283">
        <v>4355</v>
      </c>
      <c r="B37" s="292" t="s">
        <v>235</v>
      </c>
      <c r="C37" s="241">
        <v>-12687</v>
      </c>
      <c r="D37" s="241">
        <v>-13477.1</v>
      </c>
      <c r="E37" s="241">
        <v>-13477.1</v>
      </c>
      <c r="F37" s="241">
        <v>-39463.630000000005</v>
      </c>
      <c r="G37" s="241">
        <v>10000</v>
      </c>
      <c r="H37" s="241">
        <v>-15000</v>
      </c>
      <c r="I37" s="249"/>
      <c r="J37" s="234"/>
    </row>
    <row r="38" spans="1:10" x14ac:dyDescent="0.25">
      <c r="A38" s="283">
        <v>4360</v>
      </c>
      <c r="B38" s="293" t="s">
        <v>236</v>
      </c>
      <c r="C38" s="241">
        <v>0</v>
      </c>
      <c r="D38" s="241">
        <v>0</v>
      </c>
      <c r="E38" s="241">
        <v>0</v>
      </c>
      <c r="F38" s="241">
        <v>0</v>
      </c>
      <c r="G38" s="241">
        <v>0</v>
      </c>
      <c r="H38" s="241">
        <v>0</v>
      </c>
      <c r="I38" s="249"/>
      <c r="J38" s="234"/>
    </row>
    <row r="39" spans="1:10" x14ac:dyDescent="0.25">
      <c r="A39" s="283">
        <v>4365</v>
      </c>
      <c r="B39" s="282" t="s">
        <v>237</v>
      </c>
      <c r="C39" s="241">
        <v>0</v>
      </c>
      <c r="D39" s="241">
        <v>0</v>
      </c>
      <c r="E39" s="241">
        <v>0</v>
      </c>
      <c r="F39" s="241">
        <v>0</v>
      </c>
      <c r="G39" s="241">
        <v>0</v>
      </c>
      <c r="H39" s="241">
        <v>0</v>
      </c>
      <c r="I39" s="249"/>
      <c r="J39" s="234"/>
    </row>
    <row r="40" spans="1:10" x14ac:dyDescent="0.25">
      <c r="A40" s="283">
        <v>4370</v>
      </c>
      <c r="B40" s="282" t="s">
        <v>238</v>
      </c>
      <c r="C40" s="241">
        <v>0</v>
      </c>
      <c r="D40" s="241">
        <v>0</v>
      </c>
      <c r="E40" s="241">
        <v>0</v>
      </c>
      <c r="F40" s="241">
        <v>0</v>
      </c>
      <c r="G40" s="241">
        <v>0</v>
      </c>
      <c r="H40" s="241">
        <v>0</v>
      </c>
      <c r="I40" s="249"/>
      <c r="J40" s="234"/>
    </row>
    <row r="41" spans="1:10" x14ac:dyDescent="0.25">
      <c r="A41" s="283">
        <v>4375</v>
      </c>
      <c r="B41" s="294" t="s">
        <v>239</v>
      </c>
      <c r="C41" s="241">
        <v>-2985434.2500000005</v>
      </c>
      <c r="D41" s="241">
        <v>-3493081.9200000004</v>
      </c>
      <c r="E41" s="241">
        <v>-3493081.9200000004</v>
      </c>
      <c r="F41" s="241">
        <v>-2947369.65</v>
      </c>
      <c r="G41" s="241">
        <v>-2164667.9309811564</v>
      </c>
      <c r="H41" s="241">
        <v>-2021947.8808308518</v>
      </c>
      <c r="I41" s="249"/>
      <c r="J41" s="295"/>
    </row>
    <row r="42" spans="1:10" x14ac:dyDescent="0.25">
      <c r="A42" s="283">
        <v>4380</v>
      </c>
      <c r="B42" s="296" t="s">
        <v>240</v>
      </c>
      <c r="C42" s="241">
        <v>3097191.419999999</v>
      </c>
      <c r="D42" s="241">
        <v>3618390.2300000004</v>
      </c>
      <c r="E42" s="241">
        <v>3618390.2300000004</v>
      </c>
      <c r="F42" s="241">
        <v>2990803.6500000027</v>
      </c>
      <c r="G42" s="241">
        <v>2164668.548788785</v>
      </c>
      <c r="H42" s="241">
        <v>2021947.8320176993</v>
      </c>
      <c r="I42" s="249"/>
      <c r="J42" s="234"/>
    </row>
    <row r="43" spans="1:10" x14ac:dyDescent="0.25">
      <c r="A43" s="283">
        <v>4385</v>
      </c>
      <c r="B43" s="282" t="s">
        <v>241</v>
      </c>
      <c r="C43" s="241">
        <v>0</v>
      </c>
      <c r="D43" s="241">
        <v>0</v>
      </c>
      <c r="E43" s="241">
        <v>0</v>
      </c>
      <c r="F43" s="241">
        <v>0</v>
      </c>
      <c r="G43" s="241">
        <v>0</v>
      </c>
      <c r="H43" s="241">
        <v>0</v>
      </c>
      <c r="I43" s="249"/>
      <c r="J43" s="234"/>
    </row>
    <row r="44" spans="1:10" x14ac:dyDescent="0.25">
      <c r="A44" s="283">
        <v>4390</v>
      </c>
      <c r="B44" s="297" t="s">
        <v>242</v>
      </c>
      <c r="C44" s="241">
        <v>-7493.01</v>
      </c>
      <c r="D44" s="241">
        <v>-6511.1</v>
      </c>
      <c r="E44" s="241">
        <v>-6511.1</v>
      </c>
      <c r="F44" s="241">
        <v>-56029.299999999996</v>
      </c>
      <c r="G44" s="241">
        <v>-15000</v>
      </c>
      <c r="H44" s="241">
        <v>-15300</v>
      </c>
      <c r="I44" s="234"/>
      <c r="J44" s="234"/>
    </row>
    <row r="45" spans="1:10" x14ac:dyDescent="0.25">
      <c r="A45" s="283">
        <v>4395</v>
      </c>
      <c r="B45" s="282" t="s">
        <v>243</v>
      </c>
      <c r="C45" s="241">
        <v>0</v>
      </c>
      <c r="D45" s="241">
        <v>0</v>
      </c>
      <c r="E45" s="241">
        <v>0</v>
      </c>
      <c r="F45" s="241">
        <v>0</v>
      </c>
      <c r="G45" s="241">
        <v>0</v>
      </c>
      <c r="H45" s="241">
        <v>0</v>
      </c>
      <c r="I45" s="234"/>
      <c r="J45" s="234"/>
    </row>
    <row r="46" spans="1:10" x14ac:dyDescent="0.25">
      <c r="A46" s="283">
        <v>4398</v>
      </c>
      <c r="B46" s="282" t="s">
        <v>244</v>
      </c>
      <c r="C46" s="241">
        <v>0</v>
      </c>
      <c r="D46" s="241">
        <v>0</v>
      </c>
      <c r="E46" s="241">
        <v>0</v>
      </c>
      <c r="F46" s="241">
        <v>0</v>
      </c>
      <c r="G46" s="241">
        <v>0</v>
      </c>
      <c r="H46" s="241">
        <v>0</v>
      </c>
      <c r="I46" s="234"/>
      <c r="J46" s="234"/>
    </row>
    <row r="47" spans="1:10" x14ac:dyDescent="0.25">
      <c r="A47" s="283">
        <v>4405</v>
      </c>
      <c r="B47" s="298" t="s">
        <v>245</v>
      </c>
      <c r="C47" s="241">
        <v>-354062.95000000007</v>
      </c>
      <c r="D47" s="241">
        <v>-249186.05000000005</v>
      </c>
      <c r="E47" s="241">
        <v>-249186.05000000005</v>
      </c>
      <c r="F47" s="241">
        <v>-203279.02999999997</v>
      </c>
      <c r="G47" s="241">
        <v>-138337</v>
      </c>
      <c r="H47" s="241">
        <v>-132986</v>
      </c>
      <c r="I47" s="249"/>
      <c r="J47" s="234"/>
    </row>
    <row r="48" spans="1:10" x14ac:dyDescent="0.25">
      <c r="A48" s="283">
        <v>4415</v>
      </c>
      <c r="B48" s="282" t="s">
        <v>246</v>
      </c>
      <c r="C48" s="241">
        <v>0</v>
      </c>
      <c r="D48" s="241">
        <v>0</v>
      </c>
      <c r="E48" s="241"/>
      <c r="F48" s="241">
        <v>0</v>
      </c>
      <c r="G48" s="241">
        <v>0</v>
      </c>
      <c r="H48" s="241">
        <v>0</v>
      </c>
      <c r="I48" s="234"/>
      <c r="J48" s="234"/>
    </row>
    <row r="49" spans="1:10" x14ac:dyDescent="0.25">
      <c r="A49" s="1094"/>
      <c r="B49" s="1095"/>
      <c r="C49" s="1095"/>
      <c r="D49" s="1095"/>
      <c r="E49" s="1095"/>
      <c r="F49" s="1095"/>
      <c r="G49" s="1096"/>
      <c r="H49" s="1097"/>
      <c r="I49" s="234"/>
      <c r="J49" s="234"/>
    </row>
    <row r="50" spans="1:10" x14ac:dyDescent="0.25">
      <c r="A50" s="1092" t="s">
        <v>213</v>
      </c>
      <c r="B50" s="1093"/>
      <c r="C50" s="265">
        <v>-441756.25000000006</v>
      </c>
      <c r="D50" s="265">
        <v>-539109.35</v>
      </c>
      <c r="E50" s="265">
        <v>-539109.35</v>
      </c>
      <c r="F50" s="265">
        <v>-650019.23</v>
      </c>
      <c r="G50" s="265">
        <v>-520272</v>
      </c>
      <c r="H50" s="265">
        <v>-651902.94999999995</v>
      </c>
      <c r="I50" s="234"/>
      <c r="J50" s="234"/>
    </row>
    <row r="51" spans="1:10" x14ac:dyDescent="0.25">
      <c r="A51" s="1092" t="s">
        <v>214</v>
      </c>
      <c r="B51" s="1093"/>
      <c r="C51" s="266">
        <v>-152694.57</v>
      </c>
      <c r="D51" s="266">
        <v>-207146.27000000002</v>
      </c>
      <c r="E51" s="266">
        <v>-207146.27000000002</v>
      </c>
      <c r="F51" s="266">
        <v>-219013.94</v>
      </c>
      <c r="G51" s="266">
        <v>-226236</v>
      </c>
      <c r="H51" s="267">
        <v>-235599</v>
      </c>
      <c r="I51" s="234"/>
      <c r="J51" s="234"/>
    </row>
    <row r="52" spans="1:10" x14ac:dyDescent="0.25">
      <c r="A52" s="1092" t="s">
        <v>247</v>
      </c>
      <c r="B52" s="1093"/>
      <c r="C52" s="299">
        <v>-268558.99</v>
      </c>
      <c r="D52" s="299">
        <v>-279001.67000000004</v>
      </c>
      <c r="E52" s="299">
        <v>-279001.67000000004</v>
      </c>
      <c r="F52" s="299">
        <v>-281484.45999999996</v>
      </c>
      <c r="G52" s="299">
        <v>-261222</v>
      </c>
      <c r="H52" s="299">
        <v>-264212</v>
      </c>
      <c r="I52" s="234"/>
      <c r="J52" s="234"/>
    </row>
    <row r="53" spans="1:10" ht="15.75" thickBot="1" x14ac:dyDescent="0.3">
      <c r="A53" s="1086" t="s">
        <v>248</v>
      </c>
      <c r="B53" s="1087"/>
      <c r="C53" s="300">
        <v>-262485.79000000155</v>
      </c>
      <c r="D53" s="300">
        <v>-143865.94000000009</v>
      </c>
      <c r="E53" s="300">
        <v>-143865.94000000009</v>
      </c>
      <c r="F53" s="300">
        <v>-255337.95999999705</v>
      </c>
      <c r="G53" s="300">
        <v>-143336.38219237141</v>
      </c>
      <c r="H53" s="300">
        <v>-163286.04881315259</v>
      </c>
      <c r="I53" s="234"/>
      <c r="J53" s="234"/>
    </row>
    <row r="54" spans="1:10" ht="16.5" thickTop="1" thickBot="1" x14ac:dyDescent="0.3">
      <c r="A54" s="1088" t="s">
        <v>80</v>
      </c>
      <c r="B54" s="1089"/>
      <c r="C54" s="244">
        <v>-1125495.6000000015</v>
      </c>
      <c r="D54" s="244">
        <v>-1169123.2300000002</v>
      </c>
      <c r="E54" s="244">
        <v>-1169123.2300000002</v>
      </c>
      <c r="F54" s="244">
        <v>-1405855.5899999971</v>
      </c>
      <c r="G54" s="244">
        <v>-1151066.3821923714</v>
      </c>
      <c r="H54" s="268">
        <v>-1314999.9988131525</v>
      </c>
      <c r="I54" s="234"/>
      <c r="J54" s="249"/>
    </row>
    <row r="55" spans="1:10" x14ac:dyDescent="0.25">
      <c r="A55" s="234"/>
      <c r="B55" s="234"/>
      <c r="C55" s="234"/>
      <c r="D55" s="234"/>
      <c r="E55" s="234"/>
      <c r="F55" s="234"/>
      <c r="G55" s="234"/>
      <c r="H55" s="234"/>
      <c r="I55" s="234"/>
      <c r="J55" s="249"/>
    </row>
    <row r="56" spans="1:10" x14ac:dyDescent="0.25">
      <c r="A56" s="247" t="s">
        <v>175</v>
      </c>
      <c r="B56" s="235"/>
      <c r="C56" s="247" t="s">
        <v>249</v>
      </c>
      <c r="D56" s="234"/>
      <c r="E56" s="234"/>
      <c r="F56" s="234"/>
      <c r="G56" s="234"/>
      <c r="H56" s="234"/>
      <c r="I56" s="234"/>
      <c r="J56" s="249"/>
    </row>
    <row r="57" spans="1:10" x14ac:dyDescent="0.25">
      <c r="A57" s="1090" t="s">
        <v>250</v>
      </c>
      <c r="B57" s="1090"/>
      <c r="C57" s="284">
        <v>4235</v>
      </c>
      <c r="D57" s="234"/>
      <c r="E57" s="234"/>
      <c r="F57" s="234"/>
      <c r="G57" s="234"/>
      <c r="H57" s="234"/>
      <c r="I57" s="234"/>
      <c r="J57" s="249"/>
    </row>
    <row r="58" spans="1:10" x14ac:dyDescent="0.25">
      <c r="A58" s="1090" t="s">
        <v>251</v>
      </c>
      <c r="B58" s="1090"/>
      <c r="C58" s="284">
        <v>4225</v>
      </c>
      <c r="D58" s="234"/>
      <c r="E58" s="234"/>
      <c r="F58" s="234"/>
      <c r="G58" s="234"/>
      <c r="H58" s="234"/>
      <c r="I58" s="234"/>
      <c r="J58" s="249"/>
    </row>
    <row r="59" spans="1:10" x14ac:dyDescent="0.25">
      <c r="A59" s="1090" t="s">
        <v>252</v>
      </c>
      <c r="B59" s="1090"/>
      <c r="C59" s="1098" t="s">
        <v>253</v>
      </c>
      <c r="D59" s="1090"/>
      <c r="E59" s="1090"/>
      <c r="F59" s="1090"/>
      <c r="G59" s="1090"/>
      <c r="H59" s="1090"/>
      <c r="I59" s="234"/>
      <c r="J59" s="249"/>
    </row>
    <row r="60" spans="1:10" x14ac:dyDescent="0.25">
      <c r="A60" s="1090" t="s">
        <v>254</v>
      </c>
      <c r="B60" s="1090"/>
      <c r="C60" s="1099" t="s">
        <v>255</v>
      </c>
      <c r="D60" s="1099"/>
      <c r="E60" s="1099"/>
      <c r="F60" s="1099"/>
      <c r="G60" s="1099"/>
      <c r="H60" s="1099"/>
      <c r="I60" s="234"/>
      <c r="J60" s="249"/>
    </row>
    <row r="61" spans="1:10" x14ac:dyDescent="0.25">
      <c r="A61" s="234"/>
      <c r="B61" s="234"/>
      <c r="C61" s="1099"/>
      <c r="D61" s="1099"/>
      <c r="E61" s="1099"/>
      <c r="F61" s="1099"/>
      <c r="G61" s="1099"/>
      <c r="H61" s="1099"/>
      <c r="I61" s="234"/>
      <c r="J61" s="249"/>
    </row>
    <row r="62" spans="1:10" x14ac:dyDescent="0.25">
      <c r="A62" s="234"/>
      <c r="B62" s="234"/>
      <c r="C62" s="234"/>
      <c r="D62" s="234"/>
      <c r="E62" s="234"/>
      <c r="F62" s="234"/>
      <c r="G62" s="234"/>
      <c r="H62" s="234"/>
      <c r="I62" s="234"/>
      <c r="J62" s="249"/>
    </row>
    <row r="63" spans="1:10" x14ac:dyDescent="0.25">
      <c r="A63" s="235" t="s">
        <v>256</v>
      </c>
      <c r="B63" s="240"/>
      <c r="C63" s="285"/>
      <c r="D63" s="285"/>
      <c r="E63" s="285"/>
      <c r="F63" s="285"/>
      <c r="G63" s="285"/>
      <c r="H63" s="285"/>
      <c r="I63" s="234"/>
      <c r="J63" s="249"/>
    </row>
    <row r="64" spans="1:10" x14ac:dyDescent="0.25">
      <c r="A64" s="1100"/>
      <c r="B64" s="1100"/>
      <c r="C64" s="1100"/>
      <c r="D64" s="1100"/>
      <c r="E64" s="1100"/>
      <c r="F64" s="1100"/>
      <c r="G64" s="1100"/>
      <c r="H64" s="1100"/>
      <c r="I64" s="234"/>
      <c r="J64" s="249"/>
    </row>
    <row r="65" spans="1:10" x14ac:dyDescent="0.25">
      <c r="A65" s="235" t="s">
        <v>257</v>
      </c>
      <c r="B65" s="240"/>
      <c r="C65" s="240"/>
      <c r="D65" s="240"/>
      <c r="E65" s="240"/>
      <c r="F65" s="240"/>
      <c r="G65" s="240"/>
      <c r="H65" s="240"/>
      <c r="I65" s="234"/>
      <c r="J65" s="249"/>
    </row>
    <row r="66" spans="1:10" x14ac:dyDescent="0.25">
      <c r="A66" s="240"/>
      <c r="B66" s="240"/>
      <c r="C66" s="240"/>
      <c r="D66" s="240"/>
      <c r="E66" s="240"/>
      <c r="F66" s="240"/>
      <c r="G66" s="240"/>
      <c r="H66" s="240"/>
      <c r="I66" s="234"/>
      <c r="J66" s="249"/>
    </row>
    <row r="67" spans="1:10" x14ac:dyDescent="0.25">
      <c r="A67" s="1101" t="s">
        <v>258</v>
      </c>
      <c r="B67" s="1101"/>
      <c r="C67" s="1101"/>
      <c r="D67" s="1101"/>
      <c r="E67" s="1101"/>
      <c r="F67" s="1101"/>
      <c r="G67" s="1101"/>
      <c r="H67" s="1101"/>
      <c r="I67" s="234"/>
      <c r="J67" s="249"/>
    </row>
    <row r="68" spans="1:10" x14ac:dyDescent="0.25">
      <c r="A68" s="1101"/>
      <c r="B68" s="1101"/>
      <c r="C68" s="1101"/>
      <c r="D68" s="1101"/>
      <c r="E68" s="1101"/>
      <c r="F68" s="1101"/>
      <c r="G68" s="1101"/>
      <c r="H68" s="1101"/>
      <c r="I68" s="234"/>
      <c r="J68" s="249"/>
    </row>
    <row r="69" spans="1:10" x14ac:dyDescent="0.25">
      <c r="A69" s="234"/>
      <c r="B69" s="234"/>
      <c r="C69" s="234"/>
      <c r="D69" s="234"/>
      <c r="E69" s="234"/>
      <c r="F69" s="234"/>
      <c r="G69" s="234"/>
      <c r="H69" s="234"/>
      <c r="I69" s="234"/>
      <c r="J69" s="249"/>
    </row>
    <row r="70" spans="1:10" ht="15.75" thickBot="1" x14ac:dyDescent="0.3">
      <c r="A70" s="235" t="s">
        <v>259</v>
      </c>
      <c r="B70" s="234"/>
      <c r="C70" s="234"/>
      <c r="D70" s="234"/>
      <c r="E70" s="234"/>
      <c r="F70" s="234"/>
      <c r="G70" s="234"/>
      <c r="H70" s="234"/>
      <c r="I70" s="234"/>
      <c r="J70" s="249"/>
    </row>
    <row r="71" spans="1:10" x14ac:dyDescent="0.25">
      <c r="A71" s="269"/>
      <c r="B71" s="270"/>
      <c r="C71" s="288" t="s">
        <v>208</v>
      </c>
      <c r="D71" s="288" t="s">
        <v>209</v>
      </c>
      <c r="E71" s="288" t="s">
        <v>209</v>
      </c>
      <c r="F71" s="288" t="s">
        <v>210</v>
      </c>
      <c r="G71" s="288" t="s">
        <v>211</v>
      </c>
      <c r="H71" s="271" t="s">
        <v>212</v>
      </c>
      <c r="I71" s="234"/>
      <c r="J71" s="249"/>
    </row>
    <row r="72" spans="1:10" x14ac:dyDescent="0.25">
      <c r="A72" s="272"/>
      <c r="B72" s="273"/>
      <c r="C72" s="274">
        <v>2013</v>
      </c>
      <c r="D72" s="274">
        <v>2014</v>
      </c>
      <c r="E72" s="274">
        <v>2014</v>
      </c>
      <c r="F72" s="274">
        <v>2015</v>
      </c>
      <c r="G72" s="274">
        <v>2016</v>
      </c>
      <c r="H72" s="275">
        <v>2017</v>
      </c>
      <c r="I72" s="234"/>
      <c r="J72" s="249"/>
    </row>
    <row r="73" spans="1:10" x14ac:dyDescent="0.25">
      <c r="A73" s="1102" t="s">
        <v>11</v>
      </c>
      <c r="B73" s="1103"/>
      <c r="C73" s="276" t="s">
        <v>12</v>
      </c>
      <c r="D73" s="276" t="s">
        <v>12</v>
      </c>
      <c r="E73" s="276" t="s">
        <v>13</v>
      </c>
      <c r="F73" s="276" t="s">
        <v>13</v>
      </c>
      <c r="G73" s="276" t="s">
        <v>13</v>
      </c>
      <c r="H73" s="301" t="s">
        <v>13</v>
      </c>
      <c r="I73" s="234"/>
      <c r="J73" s="249"/>
    </row>
    <row r="74" spans="1:10" x14ac:dyDescent="0.25">
      <c r="A74" s="302" t="s">
        <v>260</v>
      </c>
      <c r="B74" s="303"/>
      <c r="C74" s="241">
        <v>-96601.76</v>
      </c>
      <c r="D74" s="241">
        <v>-98395.39</v>
      </c>
      <c r="E74" s="241">
        <v>-98395.39</v>
      </c>
      <c r="F74" s="241">
        <v>-99744.57</v>
      </c>
      <c r="G74" s="241">
        <v>-100530</v>
      </c>
      <c r="H74" s="241">
        <v>-101410</v>
      </c>
      <c r="I74" s="234"/>
      <c r="J74" s="249"/>
    </row>
    <row r="75" spans="1:10" x14ac:dyDescent="0.25">
      <c r="A75" s="302" t="s">
        <v>261</v>
      </c>
      <c r="B75" s="303"/>
      <c r="C75" s="241">
        <v>-7555.58</v>
      </c>
      <c r="D75" s="241">
        <v>-7684.25</v>
      </c>
      <c r="E75" s="241">
        <v>-7684.25</v>
      </c>
      <c r="F75" s="241">
        <v>-7732.33</v>
      </c>
      <c r="G75" s="241">
        <v>-7770</v>
      </c>
      <c r="H75" s="241">
        <v>-7800</v>
      </c>
      <c r="I75" s="234"/>
      <c r="J75" s="249"/>
    </row>
    <row r="76" spans="1:10" x14ac:dyDescent="0.25">
      <c r="A76" s="302" t="s">
        <v>262</v>
      </c>
      <c r="B76" s="303"/>
      <c r="C76" s="241">
        <v>-1315.5</v>
      </c>
      <c r="D76" s="241">
        <v>-1298.9000000000001</v>
      </c>
      <c r="E76" s="241">
        <v>-1298.9000000000001</v>
      </c>
      <c r="F76" s="241">
        <v>-1293.48</v>
      </c>
      <c r="G76" s="241">
        <v>-1320</v>
      </c>
      <c r="H76" s="241">
        <v>-1320</v>
      </c>
      <c r="I76" s="234"/>
      <c r="J76" s="249"/>
    </row>
    <row r="77" spans="1:10" x14ac:dyDescent="0.25">
      <c r="A77" s="302" t="s">
        <v>263</v>
      </c>
      <c r="B77" s="303"/>
      <c r="C77" s="241">
        <v>-978.37</v>
      </c>
      <c r="D77" s="241">
        <v>-1049.5999999999999</v>
      </c>
      <c r="E77" s="241">
        <v>-1049.5999999999999</v>
      </c>
      <c r="F77" s="241">
        <v>-1064.82</v>
      </c>
      <c r="G77" s="241">
        <v>-1080</v>
      </c>
      <c r="H77" s="241">
        <v>-1080</v>
      </c>
      <c r="I77" s="234"/>
      <c r="J77" s="249"/>
    </row>
    <row r="78" spans="1:10" x14ac:dyDescent="0.25">
      <c r="A78" s="303" t="s">
        <v>264</v>
      </c>
      <c r="B78" s="303"/>
      <c r="C78" s="241">
        <v>-3</v>
      </c>
      <c r="D78" s="241">
        <v>-3</v>
      </c>
      <c r="E78" s="241">
        <v>-3</v>
      </c>
      <c r="F78" s="241">
        <v>-3</v>
      </c>
      <c r="G78" s="241">
        <v>0</v>
      </c>
      <c r="H78" s="241">
        <v>0</v>
      </c>
      <c r="I78" s="234"/>
      <c r="J78" s="249"/>
    </row>
    <row r="79" spans="1:10" x14ac:dyDescent="0.25">
      <c r="A79" s="303" t="s">
        <v>265</v>
      </c>
      <c r="B79" s="303"/>
      <c r="C79" s="241">
        <v>-111.01</v>
      </c>
      <c r="D79" s="241">
        <v>-110.51</v>
      </c>
      <c r="E79" s="241">
        <v>-110.51</v>
      </c>
      <c r="F79" s="241">
        <v>-1717.38</v>
      </c>
      <c r="G79" s="241">
        <v>-120</v>
      </c>
      <c r="H79" s="241">
        <v>-120</v>
      </c>
      <c r="I79" s="234"/>
      <c r="J79" s="249"/>
    </row>
    <row r="80" spans="1:10" x14ac:dyDescent="0.25">
      <c r="A80" s="303" t="s">
        <v>266</v>
      </c>
      <c r="B80" s="303"/>
      <c r="C80" s="241">
        <v>-7</v>
      </c>
      <c r="D80" s="241">
        <v>-7</v>
      </c>
      <c r="E80" s="241">
        <v>-7</v>
      </c>
      <c r="F80" s="241">
        <v>-3.5</v>
      </c>
      <c r="G80" s="241">
        <v>0</v>
      </c>
      <c r="H80" s="241">
        <v>0</v>
      </c>
      <c r="I80" s="234"/>
      <c r="J80" s="249"/>
    </row>
    <row r="81" spans="1:10" ht="15.75" thickBot="1" x14ac:dyDescent="0.3">
      <c r="A81" s="1104" t="s">
        <v>80</v>
      </c>
      <c r="B81" s="1105"/>
      <c r="C81" s="244">
        <v>-106572.21999999999</v>
      </c>
      <c r="D81" s="244">
        <v>-108548.65</v>
      </c>
      <c r="E81" s="244">
        <v>-108548.65</v>
      </c>
      <c r="F81" s="244">
        <v>-111559.08000000002</v>
      </c>
      <c r="G81" s="244">
        <v>-110820</v>
      </c>
      <c r="H81" s="244">
        <v>-111730</v>
      </c>
      <c r="I81" s="234"/>
      <c r="J81" s="249"/>
    </row>
    <row r="82" spans="1:10" x14ac:dyDescent="0.25">
      <c r="A82" s="234"/>
      <c r="B82" s="234"/>
      <c r="C82" s="234"/>
      <c r="D82" s="234"/>
      <c r="E82" s="234"/>
      <c r="F82" s="234"/>
      <c r="G82" s="234"/>
      <c r="H82" s="234"/>
      <c r="I82" s="234"/>
      <c r="J82" s="249"/>
    </row>
    <row r="83" spans="1:10" ht="15.75" thickBot="1" x14ac:dyDescent="0.3">
      <c r="A83" s="235" t="s">
        <v>267</v>
      </c>
      <c r="B83" s="234"/>
      <c r="C83" s="234"/>
      <c r="D83" s="234"/>
      <c r="E83" s="234"/>
      <c r="F83" s="234"/>
      <c r="G83" s="234"/>
      <c r="H83" s="234"/>
      <c r="I83" s="234"/>
      <c r="J83" s="249"/>
    </row>
    <row r="84" spans="1:10" x14ac:dyDescent="0.25">
      <c r="A84" s="269"/>
      <c r="B84" s="270"/>
      <c r="C84" s="288" t="s">
        <v>208</v>
      </c>
      <c r="D84" s="288" t="s">
        <v>209</v>
      </c>
      <c r="E84" s="288" t="s">
        <v>209</v>
      </c>
      <c r="F84" s="288" t="s">
        <v>210</v>
      </c>
      <c r="G84" s="288" t="s">
        <v>211</v>
      </c>
      <c r="H84" s="271" t="s">
        <v>212</v>
      </c>
      <c r="I84" s="234"/>
      <c r="J84" s="249"/>
    </row>
    <row r="85" spans="1:10" x14ac:dyDescent="0.25">
      <c r="A85" s="272"/>
      <c r="B85" s="273"/>
      <c r="C85" s="274">
        <v>2013</v>
      </c>
      <c r="D85" s="274">
        <v>2014</v>
      </c>
      <c r="E85" s="274">
        <v>2014</v>
      </c>
      <c r="F85" s="274">
        <v>2015</v>
      </c>
      <c r="G85" s="274">
        <v>2016</v>
      </c>
      <c r="H85" s="275">
        <v>2017</v>
      </c>
      <c r="I85" s="234"/>
      <c r="J85" s="234"/>
    </row>
    <row r="86" spans="1:10" x14ac:dyDescent="0.25">
      <c r="A86" s="1102" t="s">
        <v>11</v>
      </c>
      <c r="B86" s="1103"/>
      <c r="C86" s="276" t="s">
        <v>12</v>
      </c>
      <c r="D86" s="276" t="s">
        <v>12</v>
      </c>
      <c r="E86" s="276" t="s">
        <v>13</v>
      </c>
      <c r="F86" s="276" t="s">
        <v>13</v>
      </c>
      <c r="G86" s="276" t="s">
        <v>13</v>
      </c>
      <c r="H86" s="301" t="s">
        <v>13</v>
      </c>
      <c r="I86" s="234"/>
      <c r="J86" s="234"/>
    </row>
    <row r="87" spans="1:10" x14ac:dyDescent="0.25">
      <c r="A87" s="302" t="s">
        <v>268</v>
      </c>
      <c r="B87" s="303"/>
      <c r="C87" s="241">
        <v>237.72</v>
      </c>
      <c r="D87" s="241">
        <v>-12762.86</v>
      </c>
      <c r="E87" s="241">
        <v>-12762.86</v>
      </c>
      <c r="F87" s="241">
        <v>-12398.43</v>
      </c>
      <c r="G87" s="241">
        <v>-8801</v>
      </c>
      <c r="H87" s="241">
        <v>-8808</v>
      </c>
      <c r="I87" s="234"/>
      <c r="J87" s="234"/>
    </row>
    <row r="88" spans="1:10" x14ac:dyDescent="0.25">
      <c r="A88" s="302" t="s">
        <v>269</v>
      </c>
      <c r="B88" s="303"/>
      <c r="C88" s="241">
        <v>0</v>
      </c>
      <c r="D88" s="241">
        <v>0</v>
      </c>
      <c r="E88" s="241">
        <v>0</v>
      </c>
      <c r="F88" s="241">
        <v>-100</v>
      </c>
      <c r="G88" s="241">
        <v>0</v>
      </c>
      <c r="H88" s="241">
        <v>0</v>
      </c>
      <c r="I88" s="234"/>
      <c r="J88" s="234"/>
    </row>
    <row r="89" spans="1:10" x14ac:dyDescent="0.25">
      <c r="A89" s="302" t="s">
        <v>270</v>
      </c>
      <c r="B89" s="303"/>
      <c r="C89" s="241">
        <v>-12025.5</v>
      </c>
      <c r="D89" s="241">
        <v>-10713.6</v>
      </c>
      <c r="E89" s="241">
        <v>-10713.6</v>
      </c>
      <c r="F89" s="241">
        <v>-9931.5</v>
      </c>
      <c r="G89" s="241">
        <v>-10236</v>
      </c>
      <c r="H89" s="241">
        <v>-10236</v>
      </c>
      <c r="I89" s="234"/>
      <c r="J89" s="234"/>
    </row>
    <row r="90" spans="1:10" x14ac:dyDescent="0.25">
      <c r="A90" s="302" t="s">
        <v>271</v>
      </c>
      <c r="B90" s="303"/>
      <c r="C90" s="241">
        <v>-4260</v>
      </c>
      <c r="D90" s="241">
        <v>-4108.67</v>
      </c>
      <c r="E90" s="241">
        <v>-4108.67</v>
      </c>
      <c r="F90" s="241">
        <v>-4332</v>
      </c>
      <c r="G90" s="241">
        <v>-4320</v>
      </c>
      <c r="H90" s="241">
        <v>-4320</v>
      </c>
      <c r="I90" s="234"/>
      <c r="J90" s="234"/>
    </row>
    <row r="91" spans="1:10" x14ac:dyDescent="0.25">
      <c r="A91" s="303" t="s">
        <v>272</v>
      </c>
      <c r="B91" s="303"/>
      <c r="C91" s="241">
        <v>-20840</v>
      </c>
      <c r="D91" s="241">
        <v>-18897.5</v>
      </c>
      <c r="E91" s="241">
        <v>-18897.5</v>
      </c>
      <c r="F91" s="241">
        <v>-17541.5</v>
      </c>
      <c r="G91" s="241">
        <v>-18012</v>
      </c>
      <c r="H91" s="241">
        <v>-18012</v>
      </c>
      <c r="I91" s="234"/>
      <c r="J91" s="234"/>
    </row>
    <row r="92" spans="1:10" ht="15.75" thickBot="1" x14ac:dyDescent="0.3">
      <c r="A92" s="1104" t="s">
        <v>80</v>
      </c>
      <c r="B92" s="1105"/>
      <c r="C92" s="244">
        <v>-36887.78</v>
      </c>
      <c r="D92" s="244">
        <v>-46482.63</v>
      </c>
      <c r="E92" s="244">
        <v>-46482.63</v>
      </c>
      <c r="F92" s="244">
        <v>-44303.43</v>
      </c>
      <c r="G92" s="244">
        <v>-41369</v>
      </c>
      <c r="H92" s="244">
        <v>-41376</v>
      </c>
      <c r="I92" s="234"/>
      <c r="J92" s="234"/>
    </row>
    <row r="94" spans="1:10" ht="15.75" thickBot="1" x14ac:dyDescent="0.3">
      <c r="A94" s="235" t="s">
        <v>273</v>
      </c>
      <c r="B94" s="234"/>
      <c r="C94" s="234"/>
      <c r="D94" s="234"/>
      <c r="E94" s="234"/>
      <c r="F94" s="234"/>
      <c r="G94" s="234"/>
      <c r="H94" s="234"/>
      <c r="I94" s="234"/>
      <c r="J94" s="234"/>
    </row>
    <row r="95" spans="1:10" x14ac:dyDescent="0.25">
      <c r="A95" s="269"/>
      <c r="B95" s="270"/>
      <c r="C95" s="288" t="s">
        <v>208</v>
      </c>
      <c r="D95" s="288" t="s">
        <v>209</v>
      </c>
      <c r="E95" s="288" t="s">
        <v>209</v>
      </c>
      <c r="F95" s="288" t="s">
        <v>210</v>
      </c>
      <c r="G95" s="288" t="s">
        <v>211</v>
      </c>
      <c r="H95" s="271" t="s">
        <v>212</v>
      </c>
      <c r="I95" s="234"/>
      <c r="J95" s="234"/>
    </row>
    <row r="96" spans="1:10" x14ac:dyDescent="0.25">
      <c r="A96" s="272"/>
      <c r="B96" s="273"/>
      <c r="C96" s="274">
        <v>2013</v>
      </c>
      <c r="D96" s="274">
        <v>2014</v>
      </c>
      <c r="E96" s="274">
        <v>2014</v>
      </c>
      <c r="F96" s="274">
        <v>2015</v>
      </c>
      <c r="G96" s="274">
        <v>2016</v>
      </c>
      <c r="H96" s="275">
        <v>2017</v>
      </c>
      <c r="I96" s="234"/>
      <c r="J96" s="234"/>
    </row>
    <row r="97" spans="1:9" x14ac:dyDescent="0.25">
      <c r="A97" s="1102" t="s">
        <v>11</v>
      </c>
      <c r="B97" s="1103"/>
      <c r="C97" s="276" t="s">
        <v>12</v>
      </c>
      <c r="D97" s="276" t="s">
        <v>12</v>
      </c>
      <c r="E97" s="276" t="s">
        <v>13</v>
      </c>
      <c r="F97" s="276" t="s">
        <v>13</v>
      </c>
      <c r="G97" s="276" t="s">
        <v>13</v>
      </c>
      <c r="H97" s="301" t="s">
        <v>13</v>
      </c>
      <c r="I97" s="234"/>
    </row>
    <row r="98" spans="1:9" x14ac:dyDescent="0.25">
      <c r="A98" s="302" t="s">
        <v>268</v>
      </c>
      <c r="B98" s="303"/>
      <c r="C98" s="241">
        <v>-16104.85</v>
      </c>
      <c r="D98" s="241">
        <v>-15390.34</v>
      </c>
      <c r="E98" s="241">
        <v>-15390.34</v>
      </c>
      <c r="F98" s="241">
        <v>-15146.66</v>
      </c>
      <c r="G98" s="241">
        <v>-9098</v>
      </c>
      <c r="H98" s="241">
        <v>-9181</v>
      </c>
      <c r="I98" s="234"/>
    </row>
    <row r="99" spans="1:9" x14ac:dyDescent="0.25">
      <c r="A99" s="302" t="s">
        <v>274</v>
      </c>
      <c r="B99" s="303"/>
      <c r="C99" s="241">
        <v>-571.25</v>
      </c>
      <c r="D99" s="241">
        <v>-511.25</v>
      </c>
      <c r="E99" s="241">
        <v>-511.25</v>
      </c>
      <c r="F99" s="241">
        <v>-442.5</v>
      </c>
      <c r="G99" s="241">
        <v>-252</v>
      </c>
      <c r="H99" s="241">
        <v>-252</v>
      </c>
      <c r="I99" s="234"/>
    </row>
    <row r="100" spans="1:9" x14ac:dyDescent="0.25">
      <c r="A100" s="302" t="s">
        <v>275</v>
      </c>
      <c r="B100" s="303"/>
      <c r="C100" s="241">
        <v>-426.75</v>
      </c>
      <c r="D100" s="241">
        <v>-355</v>
      </c>
      <c r="E100" s="241">
        <v>-355</v>
      </c>
      <c r="F100" s="241">
        <v>-293</v>
      </c>
      <c r="G100" s="241">
        <v>-156</v>
      </c>
      <c r="H100" s="241">
        <v>-156</v>
      </c>
      <c r="I100" s="234"/>
    </row>
    <row r="101" spans="1:9" ht="15.75" thickBot="1" x14ac:dyDescent="0.3">
      <c r="A101" s="1104" t="s">
        <v>80</v>
      </c>
      <c r="B101" s="1105"/>
      <c r="C101" s="244">
        <v>-17102.849999999999</v>
      </c>
      <c r="D101" s="244">
        <v>-16256.59</v>
      </c>
      <c r="E101" s="244">
        <v>-16256.59</v>
      </c>
      <c r="F101" s="244">
        <v>-15882.16</v>
      </c>
      <c r="G101" s="244">
        <v>-9506</v>
      </c>
      <c r="H101" s="244">
        <v>-9589</v>
      </c>
      <c r="I101" s="234"/>
    </row>
    <row r="103" spans="1:9" ht="15.75" thickBot="1" x14ac:dyDescent="0.3">
      <c r="A103" s="235" t="s">
        <v>276</v>
      </c>
      <c r="B103" s="234"/>
      <c r="C103" s="234"/>
      <c r="D103" s="234"/>
      <c r="E103" s="234"/>
      <c r="F103" s="234"/>
      <c r="G103" s="234"/>
      <c r="H103" s="234"/>
      <c r="I103" s="234"/>
    </row>
    <row r="104" spans="1:9" x14ac:dyDescent="0.25">
      <c r="A104" s="269"/>
      <c r="B104" s="270"/>
      <c r="C104" s="288" t="s">
        <v>208</v>
      </c>
      <c r="D104" s="288" t="s">
        <v>209</v>
      </c>
      <c r="E104" s="288" t="s">
        <v>209</v>
      </c>
      <c r="F104" s="288" t="s">
        <v>210</v>
      </c>
      <c r="G104" s="288" t="s">
        <v>211</v>
      </c>
      <c r="H104" s="271" t="s">
        <v>212</v>
      </c>
      <c r="I104" s="234"/>
    </row>
    <row r="105" spans="1:9" x14ac:dyDescent="0.25">
      <c r="A105" s="272"/>
      <c r="B105" s="273"/>
      <c r="C105" s="274">
        <v>2013</v>
      </c>
      <c r="D105" s="274">
        <v>2014</v>
      </c>
      <c r="E105" s="274">
        <v>2014</v>
      </c>
      <c r="F105" s="274">
        <v>2015</v>
      </c>
      <c r="G105" s="274">
        <v>2016</v>
      </c>
      <c r="H105" s="275">
        <v>2017</v>
      </c>
      <c r="I105" s="234"/>
    </row>
    <row r="106" spans="1:9" x14ac:dyDescent="0.25">
      <c r="A106" s="1102" t="s">
        <v>11</v>
      </c>
      <c r="B106" s="1103"/>
      <c r="C106" s="276" t="s">
        <v>12</v>
      </c>
      <c r="D106" s="276" t="s">
        <v>12</v>
      </c>
      <c r="E106" s="276" t="s">
        <v>13</v>
      </c>
      <c r="F106" s="276" t="s">
        <v>13</v>
      </c>
      <c r="G106" s="276" t="s">
        <v>13</v>
      </c>
      <c r="H106" s="301" t="s">
        <v>13</v>
      </c>
      <c r="I106" s="234"/>
    </row>
    <row r="107" spans="1:9" x14ac:dyDescent="0.25">
      <c r="A107" s="302" t="s">
        <v>277</v>
      </c>
      <c r="B107" s="303"/>
      <c r="C107" s="241">
        <v>0</v>
      </c>
      <c r="D107" s="241">
        <v>929.24</v>
      </c>
      <c r="E107" s="241">
        <v>929.24</v>
      </c>
      <c r="F107" s="241">
        <v>0</v>
      </c>
      <c r="G107" s="241">
        <v>0</v>
      </c>
      <c r="H107" s="241">
        <v>0</v>
      </c>
      <c r="I107" s="234"/>
    </row>
    <row r="108" spans="1:9" ht="15.75" thickBot="1" x14ac:dyDescent="0.3">
      <c r="A108" s="1104" t="s">
        <v>80</v>
      </c>
      <c r="B108" s="1105"/>
      <c r="C108" s="244">
        <v>0</v>
      </c>
      <c r="D108" s="244">
        <v>929.24</v>
      </c>
      <c r="E108" s="244">
        <v>929.24</v>
      </c>
      <c r="F108" s="244">
        <v>0</v>
      </c>
      <c r="G108" s="244">
        <v>0</v>
      </c>
      <c r="H108" s="244">
        <v>0</v>
      </c>
      <c r="I108" s="234"/>
    </row>
    <row r="109" spans="1:9" x14ac:dyDescent="0.25">
      <c r="A109" s="234"/>
      <c r="B109" s="234"/>
      <c r="C109" s="234"/>
      <c r="D109" s="234"/>
      <c r="E109" s="234"/>
      <c r="F109" s="234"/>
      <c r="G109" s="234"/>
      <c r="H109" s="234"/>
      <c r="I109" s="249"/>
    </row>
    <row r="110" spans="1:9" ht="15.75" thickBot="1" x14ac:dyDescent="0.3">
      <c r="A110" s="235" t="s">
        <v>278</v>
      </c>
      <c r="B110" s="234"/>
      <c r="C110" s="234"/>
      <c r="D110" s="234"/>
      <c r="E110" s="234"/>
      <c r="F110" s="234"/>
      <c r="G110" s="234"/>
      <c r="H110" s="234"/>
      <c r="I110" s="249"/>
    </row>
    <row r="111" spans="1:9" x14ac:dyDescent="0.25">
      <c r="A111" s="269"/>
      <c r="B111" s="270"/>
      <c r="C111" s="288" t="s">
        <v>208</v>
      </c>
      <c r="D111" s="288" t="s">
        <v>209</v>
      </c>
      <c r="E111" s="288" t="s">
        <v>209</v>
      </c>
      <c r="F111" s="288" t="s">
        <v>210</v>
      </c>
      <c r="G111" s="288" t="s">
        <v>211</v>
      </c>
      <c r="H111" s="271" t="s">
        <v>212</v>
      </c>
      <c r="I111" s="249"/>
    </row>
    <row r="112" spans="1:9" x14ac:dyDescent="0.25">
      <c r="A112" s="272"/>
      <c r="B112" s="273"/>
      <c r="C112" s="274">
        <v>2013</v>
      </c>
      <c r="D112" s="274">
        <v>2014</v>
      </c>
      <c r="E112" s="274">
        <v>2014</v>
      </c>
      <c r="F112" s="274">
        <v>2015</v>
      </c>
      <c r="G112" s="274">
        <v>2016</v>
      </c>
      <c r="H112" s="275">
        <v>2017</v>
      </c>
      <c r="I112" s="249"/>
    </row>
    <row r="113" spans="1:9" x14ac:dyDescent="0.25">
      <c r="A113" s="1102" t="s">
        <v>11</v>
      </c>
      <c r="B113" s="1103"/>
      <c r="C113" s="276" t="s">
        <v>12</v>
      </c>
      <c r="D113" s="276" t="s">
        <v>12</v>
      </c>
      <c r="E113" s="276" t="s">
        <v>13</v>
      </c>
      <c r="F113" s="276" t="s">
        <v>13</v>
      </c>
      <c r="G113" s="276" t="s">
        <v>13</v>
      </c>
      <c r="H113" s="301" t="s">
        <v>13</v>
      </c>
      <c r="I113" s="249"/>
    </row>
    <row r="114" spans="1:9" x14ac:dyDescent="0.25">
      <c r="A114" s="302" t="s">
        <v>279</v>
      </c>
      <c r="B114" s="303"/>
      <c r="C114" s="241">
        <v>-6701.07</v>
      </c>
      <c r="D114" s="241">
        <v>0</v>
      </c>
      <c r="E114" s="241">
        <v>0</v>
      </c>
      <c r="F114" s="241"/>
      <c r="G114" s="241"/>
      <c r="H114" s="264"/>
      <c r="I114" s="249"/>
    </row>
    <row r="115" spans="1:9" x14ac:dyDescent="0.25">
      <c r="A115" s="302" t="s">
        <v>280</v>
      </c>
      <c r="B115" s="303"/>
      <c r="C115" s="241">
        <v>-4298.41</v>
      </c>
      <c r="D115" s="241">
        <v>496.74</v>
      </c>
      <c r="E115" s="241">
        <v>496.74</v>
      </c>
      <c r="F115" s="241">
        <v>-7027.49</v>
      </c>
      <c r="G115" s="277">
        <v>-7000</v>
      </c>
      <c r="H115" s="264">
        <v>-7140</v>
      </c>
      <c r="I115" s="249"/>
    </row>
    <row r="116" spans="1:9" x14ac:dyDescent="0.25">
      <c r="A116" s="302" t="s">
        <v>281</v>
      </c>
      <c r="B116" s="303"/>
      <c r="C116" s="245">
        <v>-199520.55000000002</v>
      </c>
      <c r="D116" s="245">
        <v>-173887.11000000002</v>
      </c>
      <c r="E116" s="245">
        <v>-173887.11000000002</v>
      </c>
      <c r="F116" s="245">
        <v>-126218.81</v>
      </c>
      <c r="G116" s="320">
        <v>-131337</v>
      </c>
      <c r="H116" s="319">
        <v>-125846</v>
      </c>
      <c r="I116" s="249"/>
    </row>
    <row r="117" spans="1:9" ht="15.75" thickBot="1" x14ac:dyDescent="0.3">
      <c r="A117" s="1104" t="s">
        <v>80</v>
      </c>
      <c r="B117" s="1105"/>
      <c r="C117" s="244">
        <v>-210520.03000000003</v>
      </c>
      <c r="D117" s="244">
        <v>-173390.37000000002</v>
      </c>
      <c r="E117" s="244">
        <v>-173390.37000000002</v>
      </c>
      <c r="F117" s="244">
        <v>-133246.29999999999</v>
      </c>
      <c r="G117" s="244">
        <v>-138337</v>
      </c>
      <c r="H117" s="280">
        <v>-132986</v>
      </c>
      <c r="I117" s="249"/>
    </row>
    <row r="118" spans="1:9" x14ac:dyDescent="0.25">
      <c r="A118" s="234"/>
      <c r="B118" s="234"/>
      <c r="C118" s="234"/>
      <c r="D118" s="234"/>
      <c r="E118" s="234"/>
      <c r="F118" s="234"/>
      <c r="G118" s="234"/>
      <c r="H118" s="234"/>
      <c r="I118" s="249"/>
    </row>
    <row r="119" spans="1:9" ht="15.75" thickBot="1" x14ac:dyDescent="0.3">
      <c r="A119" s="235" t="s">
        <v>282</v>
      </c>
      <c r="B119" s="234"/>
      <c r="C119" s="234"/>
      <c r="D119" s="234"/>
      <c r="E119" s="234"/>
      <c r="F119" s="234"/>
      <c r="G119" s="234"/>
      <c r="H119" s="234"/>
      <c r="I119" s="249"/>
    </row>
    <row r="120" spans="1:9" x14ac:dyDescent="0.25">
      <c r="A120" s="269"/>
      <c r="B120" s="270"/>
      <c r="C120" s="288" t="s">
        <v>208</v>
      </c>
      <c r="D120" s="288" t="s">
        <v>209</v>
      </c>
      <c r="E120" s="288" t="s">
        <v>209</v>
      </c>
      <c r="F120" s="288" t="s">
        <v>210</v>
      </c>
      <c r="G120" s="288" t="s">
        <v>211</v>
      </c>
      <c r="H120" s="271" t="s">
        <v>212</v>
      </c>
      <c r="I120" s="234"/>
    </row>
    <row r="121" spans="1:9" x14ac:dyDescent="0.25">
      <c r="A121" s="272"/>
      <c r="B121" s="273"/>
      <c r="C121" s="274">
        <v>2013</v>
      </c>
      <c r="D121" s="274">
        <v>2014</v>
      </c>
      <c r="E121" s="274">
        <v>2014</v>
      </c>
      <c r="F121" s="274">
        <v>2015</v>
      </c>
      <c r="G121" s="274">
        <v>2016</v>
      </c>
      <c r="H121" s="275">
        <v>2017</v>
      </c>
      <c r="I121" s="234"/>
    </row>
    <row r="122" spans="1:9" x14ac:dyDescent="0.25">
      <c r="A122" s="1102" t="s">
        <v>11</v>
      </c>
      <c r="B122" s="1103"/>
      <c r="C122" s="276" t="s">
        <v>12</v>
      </c>
      <c r="D122" s="276" t="s">
        <v>12</v>
      </c>
      <c r="E122" s="276" t="s">
        <v>13</v>
      </c>
      <c r="F122" s="276" t="s">
        <v>13</v>
      </c>
      <c r="G122" s="276" t="s">
        <v>13</v>
      </c>
      <c r="H122" s="301" t="s">
        <v>13</v>
      </c>
      <c r="I122" s="234"/>
    </row>
    <row r="123" spans="1:9" x14ac:dyDescent="0.25">
      <c r="A123" s="1106" t="s">
        <v>283</v>
      </c>
      <c r="B123" s="1107"/>
      <c r="C123" s="241">
        <v>-45124.65</v>
      </c>
      <c r="D123" s="241">
        <v>-45772.800000000003</v>
      </c>
      <c r="E123" s="241">
        <v>-45772.800000000003</v>
      </c>
      <c r="F123" s="241">
        <v>-46398.6</v>
      </c>
      <c r="G123" s="241">
        <v>-47624</v>
      </c>
      <c r="H123" s="264">
        <v>-48576</v>
      </c>
      <c r="I123" s="234"/>
    </row>
    <row r="124" spans="1:9" x14ac:dyDescent="0.25">
      <c r="A124" s="304" t="s">
        <v>284</v>
      </c>
      <c r="B124" s="305"/>
      <c r="C124" s="241">
        <v>-62871.71</v>
      </c>
      <c r="D124" s="241">
        <v>-62871.89</v>
      </c>
      <c r="E124" s="241">
        <v>-62871.89</v>
      </c>
      <c r="F124" s="241">
        <v>-63341.27</v>
      </c>
      <c r="G124" s="277">
        <v>-51903</v>
      </c>
      <c r="H124" s="264">
        <v>-52941</v>
      </c>
      <c r="I124" s="234"/>
    </row>
    <row r="125" spans="1:9" ht="15.75" thickBot="1" x14ac:dyDescent="0.3">
      <c r="A125" s="1104" t="s">
        <v>80</v>
      </c>
      <c r="B125" s="1105"/>
      <c r="C125" s="244">
        <v>-107996.36</v>
      </c>
      <c r="D125" s="244">
        <v>-108644.69</v>
      </c>
      <c r="E125" s="244">
        <v>-108644.69</v>
      </c>
      <c r="F125" s="244">
        <v>-109739.87</v>
      </c>
      <c r="G125" s="244">
        <v>-99527</v>
      </c>
      <c r="H125" s="280">
        <v>-101517</v>
      </c>
      <c r="I125" s="234"/>
    </row>
    <row r="127" spans="1:9" ht="15.75" thickBot="1" x14ac:dyDescent="0.3">
      <c r="A127" s="235" t="s">
        <v>285</v>
      </c>
      <c r="B127" s="234"/>
      <c r="C127" s="234"/>
      <c r="D127" s="234"/>
      <c r="E127" s="234"/>
      <c r="F127" s="234"/>
      <c r="G127" s="234"/>
      <c r="H127" s="234"/>
      <c r="I127" s="234"/>
    </row>
    <row r="128" spans="1:9" x14ac:dyDescent="0.25">
      <c r="A128" s="269"/>
      <c r="B128" s="270"/>
      <c r="C128" s="288" t="s">
        <v>208</v>
      </c>
      <c r="D128" s="288" t="s">
        <v>209</v>
      </c>
      <c r="E128" s="288" t="s">
        <v>209</v>
      </c>
      <c r="F128" s="288" t="s">
        <v>210</v>
      </c>
      <c r="G128" s="288" t="s">
        <v>211</v>
      </c>
      <c r="H128" s="271" t="s">
        <v>212</v>
      </c>
      <c r="I128" s="234"/>
    </row>
    <row r="129" spans="1:13" x14ac:dyDescent="0.25">
      <c r="A129" s="272"/>
      <c r="B129" s="273"/>
      <c r="C129" s="274">
        <v>2013</v>
      </c>
      <c r="D129" s="274">
        <v>2014</v>
      </c>
      <c r="E129" s="274">
        <v>2014</v>
      </c>
      <c r="F129" s="274">
        <v>2015</v>
      </c>
      <c r="G129" s="274">
        <v>2016</v>
      </c>
      <c r="H129" s="275">
        <v>2017</v>
      </c>
      <c r="I129" s="234"/>
      <c r="J129" s="234"/>
      <c r="K129" s="234"/>
      <c r="L129" s="234"/>
      <c r="M129" s="234"/>
    </row>
    <row r="130" spans="1:13" x14ac:dyDescent="0.25">
      <c r="A130" s="1102" t="s">
        <v>11</v>
      </c>
      <c r="B130" s="1103"/>
      <c r="C130" s="276" t="s">
        <v>12</v>
      </c>
      <c r="D130" s="276" t="s">
        <v>12</v>
      </c>
      <c r="E130" s="276" t="s">
        <v>13</v>
      </c>
      <c r="F130" s="276" t="s">
        <v>13</v>
      </c>
      <c r="G130" s="276" t="s">
        <v>13</v>
      </c>
      <c r="H130" s="301" t="s">
        <v>13</v>
      </c>
      <c r="I130" s="234"/>
      <c r="J130" s="234"/>
      <c r="K130" s="234"/>
      <c r="L130" s="234"/>
      <c r="M130" s="234"/>
    </row>
    <row r="131" spans="1:13" x14ac:dyDescent="0.25">
      <c r="A131" s="1108" t="s">
        <v>286</v>
      </c>
      <c r="B131" s="1109"/>
      <c r="C131" s="241">
        <v>-152694.57</v>
      </c>
      <c r="D131" s="241">
        <v>207146.27</v>
      </c>
      <c r="E131" s="241">
        <v>207146.27</v>
      </c>
      <c r="F131" s="241">
        <v>-219013.94</v>
      </c>
      <c r="G131" s="241">
        <v>-226236</v>
      </c>
      <c r="H131" s="264">
        <v>-235599</v>
      </c>
      <c r="I131" s="234"/>
      <c r="J131" s="234"/>
      <c r="K131" s="234"/>
      <c r="L131" s="234"/>
      <c r="M131" s="234"/>
    </row>
    <row r="132" spans="1:13" ht="15.75" thickBot="1" x14ac:dyDescent="0.3">
      <c r="A132" s="1104" t="s">
        <v>80</v>
      </c>
      <c r="B132" s="1105"/>
      <c r="C132" s="244">
        <v>-152694.57</v>
      </c>
      <c r="D132" s="244">
        <v>207146.27</v>
      </c>
      <c r="E132" s="244">
        <v>207146.27</v>
      </c>
      <c r="F132" s="244">
        <v>-219013.94</v>
      </c>
      <c r="G132" s="244">
        <v>-226236</v>
      </c>
      <c r="H132" s="280">
        <v>-235599</v>
      </c>
      <c r="I132" s="234"/>
      <c r="J132" s="234"/>
      <c r="K132" s="234"/>
      <c r="L132" s="234"/>
      <c r="M132" s="234"/>
    </row>
    <row r="134" spans="1:13" ht="15.75" thickBot="1" x14ac:dyDescent="0.3">
      <c r="A134" s="235" t="s">
        <v>287</v>
      </c>
      <c r="B134" s="234"/>
      <c r="C134" s="234"/>
      <c r="D134" s="234"/>
      <c r="E134" s="234"/>
      <c r="F134" s="234"/>
      <c r="G134" s="234"/>
      <c r="H134" s="234"/>
      <c r="I134" s="234"/>
      <c r="J134" s="234"/>
      <c r="K134" s="234"/>
      <c r="L134" s="234"/>
      <c r="M134" s="234"/>
    </row>
    <row r="135" spans="1:13" x14ac:dyDescent="0.25">
      <c r="A135" s="269"/>
      <c r="B135" s="270"/>
      <c r="C135" s="288" t="s">
        <v>208</v>
      </c>
      <c r="D135" s="288" t="s">
        <v>209</v>
      </c>
      <c r="E135" s="288" t="s">
        <v>209</v>
      </c>
      <c r="F135" s="288" t="s">
        <v>210</v>
      </c>
      <c r="G135" s="288" t="s">
        <v>211</v>
      </c>
      <c r="H135" s="271" t="s">
        <v>212</v>
      </c>
      <c r="I135" s="234"/>
      <c r="J135" s="234"/>
      <c r="K135" s="234"/>
      <c r="L135" s="234"/>
      <c r="M135" s="234"/>
    </row>
    <row r="136" spans="1:13" x14ac:dyDescent="0.25">
      <c r="A136" s="272"/>
      <c r="B136" s="273"/>
      <c r="C136" s="274">
        <v>2013</v>
      </c>
      <c r="D136" s="274">
        <v>2014</v>
      </c>
      <c r="E136" s="274">
        <v>2014</v>
      </c>
      <c r="F136" s="274">
        <v>2015</v>
      </c>
      <c r="G136" s="274">
        <v>2016</v>
      </c>
      <c r="H136" s="275">
        <v>2017</v>
      </c>
      <c r="I136" s="234"/>
      <c r="J136" s="234"/>
      <c r="K136" s="234"/>
      <c r="L136" s="234"/>
      <c r="M136" s="234"/>
    </row>
    <row r="137" spans="1:13" x14ac:dyDescent="0.25">
      <c r="A137" s="1110" t="s">
        <v>11</v>
      </c>
      <c r="B137" s="1111"/>
      <c r="C137" s="276" t="s">
        <v>12</v>
      </c>
      <c r="D137" s="276" t="s">
        <v>12</v>
      </c>
      <c r="E137" s="276" t="s">
        <v>13</v>
      </c>
      <c r="F137" s="276" t="s">
        <v>13</v>
      </c>
      <c r="G137" s="276" t="s">
        <v>13</v>
      </c>
      <c r="H137" s="301" t="s">
        <v>13</v>
      </c>
      <c r="I137" s="234"/>
      <c r="J137" s="234"/>
      <c r="K137" s="234"/>
      <c r="L137" s="234"/>
      <c r="M137" s="234"/>
    </row>
    <row r="138" spans="1:13" x14ac:dyDescent="0.25">
      <c r="A138" s="306" t="s">
        <v>288</v>
      </c>
      <c r="B138" s="307"/>
      <c r="C138" s="241">
        <v>-1339.56</v>
      </c>
      <c r="D138" s="241">
        <v>-435</v>
      </c>
      <c r="E138" s="241">
        <v>-435</v>
      </c>
      <c r="F138" s="241">
        <v>-125.85</v>
      </c>
      <c r="G138" s="241">
        <v>-135</v>
      </c>
      <c r="H138" s="264">
        <v>-135</v>
      </c>
      <c r="I138" s="234"/>
      <c r="J138" s="234"/>
      <c r="K138" s="234"/>
      <c r="L138" s="234"/>
      <c r="M138" s="234"/>
    </row>
    <row r="139" spans="1:13" x14ac:dyDescent="0.25">
      <c r="A139" s="308" t="s">
        <v>289</v>
      </c>
      <c r="B139" s="309"/>
      <c r="C139" s="241">
        <v>-2865</v>
      </c>
      <c r="D139" s="241">
        <v>-2870</v>
      </c>
      <c r="E139" s="241">
        <v>-2870</v>
      </c>
      <c r="F139" s="241">
        <v>-3240</v>
      </c>
      <c r="G139" s="277">
        <v>-3583</v>
      </c>
      <c r="H139" s="264">
        <v>-3655</v>
      </c>
      <c r="I139" s="234"/>
      <c r="J139" s="234"/>
      <c r="K139" s="234"/>
      <c r="L139" s="234"/>
      <c r="M139" s="234"/>
    </row>
    <row r="140" spans="1:13" x14ac:dyDescent="0.25">
      <c r="A140" s="308" t="s">
        <v>290</v>
      </c>
      <c r="B140" s="309"/>
      <c r="C140" s="241">
        <v>-5715</v>
      </c>
      <c r="D140" s="241">
        <v>-5795</v>
      </c>
      <c r="E140" s="241">
        <v>-5795</v>
      </c>
      <c r="F140" s="241">
        <v>-5026.37</v>
      </c>
      <c r="G140" s="241">
        <v>-5891</v>
      </c>
      <c r="H140" s="264">
        <v>-6009</v>
      </c>
      <c r="I140" s="234"/>
      <c r="J140" s="234"/>
      <c r="K140" s="234"/>
      <c r="L140" s="234"/>
      <c r="M140" s="234"/>
    </row>
    <row r="141" spans="1:13" x14ac:dyDescent="0.25">
      <c r="A141" s="308" t="s">
        <v>291</v>
      </c>
      <c r="B141" s="309"/>
      <c r="C141" s="241">
        <v>-158745</v>
      </c>
      <c r="D141" s="241">
        <v>-156060.43</v>
      </c>
      <c r="E141" s="241">
        <v>-156060.43</v>
      </c>
      <c r="F141" s="241">
        <v>-163071.99</v>
      </c>
      <c r="G141" s="241">
        <v>-160222</v>
      </c>
      <c r="H141" s="264">
        <v>-163426</v>
      </c>
      <c r="I141" s="234"/>
      <c r="J141" s="234"/>
      <c r="K141" s="234"/>
      <c r="L141" s="234"/>
      <c r="M141" s="234"/>
    </row>
    <row r="142" spans="1:13" x14ac:dyDescent="0.25">
      <c r="A142" s="308" t="s">
        <v>292</v>
      </c>
      <c r="B142" s="309"/>
      <c r="C142" s="241">
        <v>-244886.1</v>
      </c>
      <c r="D142" s="241">
        <v>-333900</v>
      </c>
      <c r="E142" s="241">
        <v>-333900</v>
      </c>
      <c r="F142" s="241">
        <v>-440550</v>
      </c>
      <c r="G142" s="241">
        <v>-313393</v>
      </c>
      <c r="H142" s="264">
        <v>-440888.95</v>
      </c>
      <c r="I142" s="310"/>
      <c r="J142" s="249"/>
      <c r="K142" s="249"/>
      <c r="L142" s="249"/>
      <c r="M142" s="249"/>
    </row>
    <row r="143" spans="1:13" x14ac:dyDescent="0.25">
      <c r="A143" s="308" t="s">
        <v>293</v>
      </c>
      <c r="B143" s="309"/>
      <c r="C143" s="241">
        <v>-12555</v>
      </c>
      <c r="D143" s="241">
        <v>-17095</v>
      </c>
      <c r="E143" s="241">
        <v>-17095</v>
      </c>
      <c r="F143" s="241">
        <v>-15743.46</v>
      </c>
      <c r="G143" s="241">
        <v>-15984</v>
      </c>
      <c r="H143" s="264">
        <v>-16304</v>
      </c>
      <c r="I143" s="234"/>
      <c r="J143" s="234"/>
      <c r="K143" s="234"/>
      <c r="L143" s="234"/>
      <c r="M143" s="234"/>
    </row>
    <row r="144" spans="1:13" x14ac:dyDescent="0.25">
      <c r="A144" s="308" t="s">
        <v>294</v>
      </c>
      <c r="B144" s="309"/>
      <c r="C144" s="241">
        <v>-8325</v>
      </c>
      <c r="D144" s="241">
        <v>-14245</v>
      </c>
      <c r="E144" s="241">
        <v>-14245</v>
      </c>
      <c r="F144" s="241">
        <v>-12580</v>
      </c>
      <c r="G144" s="241">
        <v>-12077</v>
      </c>
      <c r="H144" s="264">
        <v>-12319</v>
      </c>
      <c r="I144" s="234"/>
      <c r="J144" s="234"/>
      <c r="K144" s="234"/>
      <c r="L144" s="234"/>
      <c r="M144" s="234"/>
    </row>
    <row r="145" spans="1:8" x14ac:dyDescent="0.25">
      <c r="A145" s="308" t="s">
        <v>295</v>
      </c>
      <c r="B145" s="309"/>
      <c r="C145" s="241">
        <v>-925</v>
      </c>
      <c r="D145" s="241">
        <v>0</v>
      </c>
      <c r="E145" s="241">
        <v>0</v>
      </c>
      <c r="F145" s="241"/>
      <c r="G145" s="241"/>
      <c r="H145" s="264"/>
    </row>
    <row r="146" spans="1:8" x14ac:dyDescent="0.25">
      <c r="A146" s="308" t="s">
        <v>296</v>
      </c>
      <c r="B146" s="309"/>
      <c r="C146" s="241">
        <v>-2500</v>
      </c>
      <c r="D146" s="241">
        <v>-3000</v>
      </c>
      <c r="E146" s="241">
        <v>-3000</v>
      </c>
      <c r="F146" s="241">
        <v>-3500</v>
      </c>
      <c r="G146" s="241">
        <v>-3121</v>
      </c>
      <c r="H146" s="264">
        <v>-3183</v>
      </c>
    </row>
    <row r="147" spans="1:8" x14ac:dyDescent="0.25">
      <c r="A147" s="308" t="s">
        <v>297</v>
      </c>
      <c r="B147" s="309"/>
      <c r="C147" s="241">
        <v>0</v>
      </c>
      <c r="D147" s="241">
        <v>-600</v>
      </c>
      <c r="E147" s="241">
        <v>-600</v>
      </c>
      <c r="F147" s="241">
        <v>-300</v>
      </c>
      <c r="G147" s="241"/>
      <c r="H147" s="264"/>
    </row>
    <row r="148" spans="1:8" x14ac:dyDescent="0.25">
      <c r="A148" s="308" t="s">
        <v>298</v>
      </c>
      <c r="B148" s="309"/>
      <c r="C148" s="241">
        <v>-3900.59</v>
      </c>
      <c r="D148" s="241">
        <v>-5108.92</v>
      </c>
      <c r="E148" s="241">
        <v>-5108.92</v>
      </c>
      <c r="F148" s="241">
        <v>-5821.56</v>
      </c>
      <c r="G148" s="277">
        <v>-5866</v>
      </c>
      <c r="H148" s="264">
        <v>-5983</v>
      </c>
    </row>
    <row r="149" spans="1:8" ht="15.75" thickBot="1" x14ac:dyDescent="0.3">
      <c r="A149" s="1112" t="s">
        <v>299</v>
      </c>
      <c r="B149" s="1113"/>
      <c r="C149" s="243">
        <v>0</v>
      </c>
      <c r="D149" s="243">
        <v>0</v>
      </c>
      <c r="E149" s="243">
        <v>0</v>
      </c>
      <c r="F149" s="243">
        <v>-60</v>
      </c>
      <c r="G149" s="278">
        <v>0</v>
      </c>
      <c r="H149" s="279">
        <v>0</v>
      </c>
    </row>
    <row r="150" spans="1:8" ht="16.5" thickTop="1" thickBot="1" x14ac:dyDescent="0.3">
      <c r="A150" s="1104" t="s">
        <v>80</v>
      </c>
      <c r="B150" s="1105"/>
      <c r="C150" s="244">
        <v>-441756.25000000006</v>
      </c>
      <c r="D150" s="244">
        <v>-539109.35</v>
      </c>
      <c r="E150" s="244">
        <v>-539109.35</v>
      </c>
      <c r="F150" s="244">
        <v>-650019.23</v>
      </c>
      <c r="G150" s="244">
        <v>-520272</v>
      </c>
      <c r="H150" s="280">
        <v>-651902.94999999995</v>
      </c>
    </row>
    <row r="152" spans="1:8" ht="15.75" thickBot="1" x14ac:dyDescent="0.3">
      <c r="A152" s="235" t="s">
        <v>300</v>
      </c>
      <c r="B152" s="234"/>
      <c r="C152" s="234"/>
      <c r="D152" s="234"/>
      <c r="E152" s="234"/>
      <c r="F152" s="234"/>
      <c r="G152" s="234"/>
      <c r="H152" s="234"/>
    </row>
    <row r="153" spans="1:8" x14ac:dyDescent="0.25">
      <c r="A153" s="269"/>
      <c r="B153" s="270"/>
      <c r="C153" s="288" t="s">
        <v>208</v>
      </c>
      <c r="D153" s="288" t="s">
        <v>209</v>
      </c>
      <c r="E153" s="288" t="s">
        <v>209</v>
      </c>
      <c r="F153" s="288" t="s">
        <v>210</v>
      </c>
      <c r="G153" s="288" t="s">
        <v>211</v>
      </c>
      <c r="H153" s="271" t="s">
        <v>212</v>
      </c>
    </row>
    <row r="154" spans="1:8" x14ac:dyDescent="0.25">
      <c r="A154" s="272"/>
      <c r="B154" s="273"/>
      <c r="C154" s="274">
        <v>2013</v>
      </c>
      <c r="D154" s="274">
        <v>2014</v>
      </c>
      <c r="E154" s="274">
        <v>2014</v>
      </c>
      <c r="F154" s="274">
        <v>2015</v>
      </c>
      <c r="G154" s="274">
        <v>2016</v>
      </c>
      <c r="H154" s="275">
        <v>2017</v>
      </c>
    </row>
    <row r="155" spans="1:8" x14ac:dyDescent="0.25">
      <c r="A155" s="1102" t="s">
        <v>11</v>
      </c>
      <c r="B155" s="1103"/>
      <c r="C155" s="276" t="s">
        <v>12</v>
      </c>
      <c r="D155" s="276" t="s">
        <v>12</v>
      </c>
      <c r="E155" s="276" t="s">
        <v>13</v>
      </c>
      <c r="F155" s="276" t="s">
        <v>13</v>
      </c>
      <c r="G155" s="276" t="s">
        <v>13</v>
      </c>
      <c r="H155" s="301" t="s">
        <v>13</v>
      </c>
    </row>
    <row r="156" spans="1:8" x14ac:dyDescent="0.25">
      <c r="A156" s="1108" t="s">
        <v>235</v>
      </c>
      <c r="B156" s="1109"/>
      <c r="C156" s="241">
        <v>-12687</v>
      </c>
      <c r="D156" s="241">
        <v>-13477.1</v>
      </c>
      <c r="E156" s="241">
        <v>-13477.1</v>
      </c>
      <c r="F156" s="241">
        <v>-39463.630000000005</v>
      </c>
      <c r="G156" s="241">
        <v>-10000</v>
      </c>
      <c r="H156" s="264">
        <v>-15000</v>
      </c>
    </row>
    <row r="157" spans="1:8" ht="15.75" thickBot="1" x14ac:dyDescent="0.3">
      <c r="A157" s="1104" t="s">
        <v>80</v>
      </c>
      <c r="B157" s="1105"/>
      <c r="C157" s="244">
        <v>-12687</v>
      </c>
      <c r="D157" s="244">
        <v>-13477.1</v>
      </c>
      <c r="E157" s="244">
        <v>-13477.1</v>
      </c>
      <c r="F157" s="244">
        <v>-39463.630000000005</v>
      </c>
      <c r="G157" s="244">
        <v>-10000</v>
      </c>
      <c r="H157" s="280">
        <v>-15000</v>
      </c>
    </row>
    <row r="159" spans="1:8" ht="15.75" thickBot="1" x14ac:dyDescent="0.3">
      <c r="A159" s="235" t="s">
        <v>301</v>
      </c>
      <c r="B159" s="234"/>
      <c r="C159" s="234"/>
      <c r="D159" s="234"/>
      <c r="E159" s="234"/>
      <c r="F159" s="234"/>
      <c r="G159" s="234"/>
      <c r="H159" s="234"/>
    </row>
    <row r="160" spans="1:8" x14ac:dyDescent="0.25">
      <c r="A160" s="269"/>
      <c r="B160" s="270"/>
      <c r="C160" s="288" t="s">
        <v>208</v>
      </c>
      <c r="D160" s="288" t="s">
        <v>209</v>
      </c>
      <c r="E160" s="288" t="s">
        <v>209</v>
      </c>
      <c r="F160" s="288" t="s">
        <v>210</v>
      </c>
      <c r="G160" s="288" t="s">
        <v>211</v>
      </c>
      <c r="H160" s="271" t="s">
        <v>212</v>
      </c>
    </row>
    <row r="161" spans="1:11" x14ac:dyDescent="0.25">
      <c r="A161" s="272"/>
      <c r="B161" s="273"/>
      <c r="C161" s="274">
        <v>2013</v>
      </c>
      <c r="D161" s="274">
        <v>2014</v>
      </c>
      <c r="E161" s="274">
        <v>2014</v>
      </c>
      <c r="F161" s="274">
        <v>2015</v>
      </c>
      <c r="G161" s="274">
        <v>2016</v>
      </c>
      <c r="H161" s="275">
        <v>2017</v>
      </c>
      <c r="I161" s="234"/>
      <c r="J161" s="234"/>
      <c r="K161" s="234"/>
    </row>
    <row r="162" spans="1:11" x14ac:dyDescent="0.25">
      <c r="A162" s="1102" t="s">
        <v>11</v>
      </c>
      <c r="B162" s="1103"/>
      <c r="C162" s="276" t="s">
        <v>12</v>
      </c>
      <c r="D162" s="276" t="s">
        <v>12</v>
      </c>
      <c r="E162" s="276" t="s">
        <v>13</v>
      </c>
      <c r="F162" s="276" t="s">
        <v>13</v>
      </c>
      <c r="G162" s="276" t="s">
        <v>13</v>
      </c>
      <c r="H162" s="301" t="s">
        <v>13</v>
      </c>
      <c r="I162" s="234"/>
      <c r="J162" s="234"/>
      <c r="K162" s="234"/>
    </row>
    <row r="163" spans="1:11" x14ac:dyDescent="0.25">
      <c r="A163" s="311" t="s">
        <v>302</v>
      </c>
      <c r="B163" s="312"/>
      <c r="C163" s="241">
        <v>0</v>
      </c>
      <c r="D163" s="241">
        <v>-85810.5</v>
      </c>
      <c r="E163" s="241">
        <v>-85810.5</v>
      </c>
      <c r="F163" s="241">
        <v>-410229.29</v>
      </c>
      <c r="G163" s="277">
        <v>-384268.93000000005</v>
      </c>
      <c r="H163" s="264">
        <v>-306987.93</v>
      </c>
      <c r="I163" s="313"/>
      <c r="J163" s="313"/>
      <c r="K163" s="234"/>
    </row>
    <row r="164" spans="1:11" x14ac:dyDescent="0.25">
      <c r="A164" s="314" t="s">
        <v>303</v>
      </c>
      <c r="B164" s="315"/>
      <c r="C164" s="241"/>
      <c r="D164" s="241"/>
      <c r="E164" s="241"/>
      <c r="F164" s="241"/>
      <c r="G164" s="277">
        <v>0</v>
      </c>
      <c r="H164" s="264">
        <v>0</v>
      </c>
      <c r="I164" s="313"/>
      <c r="J164" s="313"/>
      <c r="K164" s="234"/>
    </row>
    <row r="165" spans="1:11" x14ac:dyDescent="0.25">
      <c r="A165" s="308" t="s">
        <v>304</v>
      </c>
      <c r="B165" s="309"/>
      <c r="C165" s="241">
        <v>-2985433.97</v>
      </c>
      <c r="D165" s="241">
        <v>-3407271.42</v>
      </c>
      <c r="E165" s="241">
        <v>-3407271.42</v>
      </c>
      <c r="F165" s="241">
        <v>-2537140.96</v>
      </c>
      <c r="G165" s="277">
        <v>-1580232</v>
      </c>
      <c r="H165" s="264">
        <v>-1610428</v>
      </c>
      <c r="I165" s="313"/>
      <c r="J165" s="313"/>
      <c r="K165" s="234"/>
    </row>
    <row r="166" spans="1:11" x14ac:dyDescent="0.25">
      <c r="A166" s="308" t="s">
        <v>305</v>
      </c>
      <c r="B166" s="309"/>
      <c r="C166" s="241"/>
      <c r="D166" s="241"/>
      <c r="E166" s="241"/>
      <c r="F166" s="241"/>
      <c r="G166" s="277">
        <v>-200167</v>
      </c>
      <c r="H166" s="264">
        <v>-104531.95</v>
      </c>
      <c r="I166" s="313"/>
      <c r="J166" s="313"/>
      <c r="K166" s="234"/>
    </row>
    <row r="167" spans="1:11" x14ac:dyDescent="0.25">
      <c r="A167" s="308" t="s">
        <v>306</v>
      </c>
      <c r="B167" s="309"/>
      <c r="C167" s="241"/>
      <c r="D167" s="241"/>
      <c r="E167" s="241"/>
      <c r="F167" s="241"/>
      <c r="G167" s="241"/>
      <c r="H167" s="264">
        <v>0</v>
      </c>
      <c r="I167" s="313"/>
      <c r="J167" s="313"/>
      <c r="K167" s="234"/>
    </row>
    <row r="168" spans="1:11" ht="15.75" thickBot="1" x14ac:dyDescent="0.3">
      <c r="A168" s="1104" t="s">
        <v>80</v>
      </c>
      <c r="B168" s="1105"/>
      <c r="C168" s="244">
        <v>-2985433.97</v>
      </c>
      <c r="D168" s="244">
        <v>-3493081.92</v>
      </c>
      <c r="E168" s="244">
        <v>-3493081.92</v>
      </c>
      <c r="F168" s="244">
        <v>-2947370.25</v>
      </c>
      <c r="G168" s="280">
        <v>-2164667.9300000002</v>
      </c>
      <c r="H168" s="280">
        <v>-2021947.88</v>
      </c>
      <c r="I168" s="313"/>
      <c r="J168" s="313"/>
      <c r="K168" s="313"/>
    </row>
    <row r="169" spans="1:11" x14ac:dyDescent="0.25">
      <c r="A169" s="234"/>
      <c r="B169" s="234"/>
      <c r="C169" s="234"/>
      <c r="D169" s="234"/>
      <c r="E169" s="234"/>
      <c r="F169" s="313"/>
      <c r="G169" s="234"/>
      <c r="H169" s="234"/>
      <c r="I169" s="234"/>
      <c r="J169" s="234"/>
      <c r="K169" s="234"/>
    </row>
    <row r="170" spans="1:11" ht="15.75" thickBot="1" x14ac:dyDescent="0.3">
      <c r="A170" s="235" t="s">
        <v>307</v>
      </c>
      <c r="B170" s="234"/>
      <c r="C170" s="234"/>
      <c r="D170" s="234"/>
      <c r="E170" s="234"/>
      <c r="F170" s="234"/>
      <c r="G170" s="234"/>
      <c r="H170" s="234"/>
      <c r="I170" s="234"/>
      <c r="J170" s="234"/>
      <c r="K170" s="234"/>
    </row>
    <row r="171" spans="1:11" x14ac:dyDescent="0.25">
      <c r="A171" s="269"/>
      <c r="B171" s="270"/>
      <c r="C171" s="288" t="s">
        <v>208</v>
      </c>
      <c r="D171" s="288" t="s">
        <v>209</v>
      </c>
      <c r="E171" s="288" t="s">
        <v>209</v>
      </c>
      <c r="F171" s="288" t="s">
        <v>210</v>
      </c>
      <c r="G171" s="288" t="s">
        <v>211</v>
      </c>
      <c r="H171" s="271" t="s">
        <v>212</v>
      </c>
      <c r="I171" s="234"/>
      <c r="J171" s="234"/>
      <c r="K171" s="234"/>
    </row>
    <row r="172" spans="1:11" x14ac:dyDescent="0.25">
      <c r="A172" s="272"/>
      <c r="B172" s="273"/>
      <c r="C172" s="274">
        <v>2013</v>
      </c>
      <c r="D172" s="274">
        <v>2014</v>
      </c>
      <c r="E172" s="274">
        <v>2014</v>
      </c>
      <c r="F172" s="274">
        <v>2015</v>
      </c>
      <c r="G172" s="274">
        <v>2016</v>
      </c>
      <c r="H172" s="275">
        <v>2017</v>
      </c>
      <c r="I172" s="234"/>
      <c r="J172" s="234"/>
      <c r="K172" s="234"/>
    </row>
    <row r="173" spans="1:11" x14ac:dyDescent="0.25">
      <c r="A173" s="1102" t="s">
        <v>11</v>
      </c>
      <c r="B173" s="1103"/>
      <c r="C173" s="276" t="s">
        <v>12</v>
      </c>
      <c r="D173" s="276" t="s">
        <v>12</v>
      </c>
      <c r="E173" s="276" t="s">
        <v>13</v>
      </c>
      <c r="F173" s="276" t="s">
        <v>13</v>
      </c>
      <c r="G173" s="276" t="s">
        <v>13</v>
      </c>
      <c r="H173" s="301" t="s">
        <v>13</v>
      </c>
      <c r="I173" s="234"/>
      <c r="J173" s="234"/>
      <c r="K173" s="234"/>
    </row>
    <row r="174" spans="1:11" x14ac:dyDescent="0.25">
      <c r="A174" s="1114" t="s">
        <v>304</v>
      </c>
      <c r="B174" s="1115"/>
      <c r="C174" s="241">
        <v>2978690.99</v>
      </c>
      <c r="D174" s="241">
        <v>3407271.42</v>
      </c>
      <c r="E174" s="241">
        <v>3407271.42</v>
      </c>
      <c r="F174" s="289">
        <v>2283587.58</v>
      </c>
      <c r="G174" s="277">
        <v>1580232</v>
      </c>
      <c r="H174" s="264">
        <v>1610428</v>
      </c>
      <c r="I174" s="313"/>
      <c r="J174" s="313"/>
      <c r="K174" s="234"/>
    </row>
    <row r="175" spans="1:11" x14ac:dyDescent="0.25">
      <c r="A175" s="314" t="s">
        <v>308</v>
      </c>
      <c r="B175" s="316"/>
      <c r="C175" s="241">
        <v>0</v>
      </c>
      <c r="D175" s="241">
        <v>0</v>
      </c>
      <c r="E175" s="241">
        <v>0</v>
      </c>
      <c r="F175" s="289">
        <v>136261.31</v>
      </c>
      <c r="G175" s="277">
        <v>96810</v>
      </c>
      <c r="H175" s="264">
        <v>0</v>
      </c>
      <c r="I175" s="313"/>
      <c r="J175" s="313"/>
      <c r="K175" s="234"/>
    </row>
    <row r="176" spans="1:11" x14ac:dyDescent="0.25">
      <c r="A176" s="314" t="s">
        <v>309</v>
      </c>
      <c r="B176" s="316"/>
      <c r="C176" s="241">
        <v>0</v>
      </c>
      <c r="D176" s="241">
        <v>0</v>
      </c>
      <c r="E176" s="241">
        <v>0</v>
      </c>
      <c r="F176" s="289">
        <v>0</v>
      </c>
      <c r="G176" s="289">
        <v>0</v>
      </c>
      <c r="H176" s="264">
        <v>0</v>
      </c>
      <c r="I176" s="313"/>
      <c r="J176" s="313"/>
      <c r="K176" s="248"/>
    </row>
    <row r="177" spans="1:11" x14ac:dyDescent="0.25">
      <c r="A177" s="1114" t="s">
        <v>310</v>
      </c>
      <c r="B177" s="1115"/>
      <c r="C177" s="241">
        <v>0</v>
      </c>
      <c r="D177" s="241">
        <v>85810.5</v>
      </c>
      <c r="E177" s="241">
        <v>85810.5</v>
      </c>
      <c r="F177" s="241">
        <v>410229.29</v>
      </c>
      <c r="G177" s="241">
        <v>384269.14</v>
      </c>
      <c r="H177" s="264">
        <v>306987.93</v>
      </c>
      <c r="I177" s="313"/>
      <c r="J177" s="313"/>
      <c r="K177" s="234"/>
    </row>
    <row r="178" spans="1:11" x14ac:dyDescent="0.25">
      <c r="A178" s="1114" t="s">
        <v>311</v>
      </c>
      <c r="B178" s="1115"/>
      <c r="C178" s="241">
        <v>118500.43000000001</v>
      </c>
      <c r="D178" s="241">
        <v>125308.31</v>
      </c>
      <c r="E178" s="241">
        <v>125308.31</v>
      </c>
      <c r="F178" s="241">
        <v>160727.17000000001</v>
      </c>
      <c r="G178" s="277">
        <v>103357.41</v>
      </c>
      <c r="H178" s="264">
        <v>104531.95</v>
      </c>
      <c r="I178" s="313"/>
      <c r="J178" s="313"/>
      <c r="K178" s="234"/>
    </row>
    <row r="179" spans="1:11" ht="15.75" thickBot="1" x14ac:dyDescent="0.3">
      <c r="A179" s="1104" t="s">
        <v>80</v>
      </c>
      <c r="B179" s="1105"/>
      <c r="C179" s="244">
        <v>3097191.4200000004</v>
      </c>
      <c r="D179" s="244">
        <v>3618390.23</v>
      </c>
      <c r="E179" s="244">
        <v>3618390.23</v>
      </c>
      <c r="F179" s="244">
        <v>2990805.35</v>
      </c>
      <c r="G179" s="244">
        <v>2164668.5500000003</v>
      </c>
      <c r="H179" s="280">
        <v>2021947.88</v>
      </c>
      <c r="I179" s="313"/>
      <c r="J179" s="313"/>
      <c r="K179" s="313"/>
    </row>
    <row r="180" spans="1:11" x14ac:dyDescent="0.25">
      <c r="A180" s="234"/>
      <c r="B180" s="234"/>
      <c r="C180" s="313"/>
      <c r="D180" s="313"/>
      <c r="E180" s="234"/>
      <c r="F180" s="295"/>
      <c r="G180" s="234"/>
      <c r="H180" s="234"/>
      <c r="I180" s="234"/>
      <c r="J180" s="234"/>
      <c r="K180" s="234"/>
    </row>
    <row r="181" spans="1:11" ht="15.75" thickBot="1" x14ac:dyDescent="0.3">
      <c r="A181" s="235" t="s">
        <v>312</v>
      </c>
      <c r="B181" s="234"/>
      <c r="C181" s="234"/>
      <c r="D181" s="234"/>
      <c r="E181" s="234"/>
      <c r="F181" s="234"/>
      <c r="G181" s="234"/>
      <c r="H181" s="234"/>
      <c r="I181" s="234"/>
      <c r="J181" s="234"/>
      <c r="K181" s="234"/>
    </row>
    <row r="182" spans="1:11" x14ac:dyDescent="0.25">
      <c r="A182" s="269"/>
      <c r="B182" s="270"/>
      <c r="C182" s="288" t="s">
        <v>208</v>
      </c>
      <c r="D182" s="288" t="s">
        <v>209</v>
      </c>
      <c r="E182" s="288" t="s">
        <v>209</v>
      </c>
      <c r="F182" s="288" t="s">
        <v>210</v>
      </c>
      <c r="G182" s="288" t="s">
        <v>211</v>
      </c>
      <c r="H182" s="271" t="s">
        <v>212</v>
      </c>
      <c r="I182" s="234"/>
      <c r="J182" s="234"/>
      <c r="K182" s="234"/>
    </row>
    <row r="183" spans="1:11" x14ac:dyDescent="0.25">
      <c r="A183" s="272"/>
      <c r="B183" s="273"/>
      <c r="C183" s="274">
        <v>2013</v>
      </c>
      <c r="D183" s="274">
        <v>2014</v>
      </c>
      <c r="E183" s="274">
        <v>2014</v>
      </c>
      <c r="F183" s="274">
        <v>2015</v>
      </c>
      <c r="G183" s="274">
        <v>2016</v>
      </c>
      <c r="H183" s="275">
        <v>2017</v>
      </c>
      <c r="I183" s="234"/>
      <c r="J183" s="234"/>
      <c r="K183" s="234"/>
    </row>
    <row r="184" spans="1:11" x14ac:dyDescent="0.25">
      <c r="A184" s="1102" t="s">
        <v>11</v>
      </c>
      <c r="B184" s="1103"/>
      <c r="C184" s="276" t="s">
        <v>12</v>
      </c>
      <c r="D184" s="276" t="s">
        <v>12</v>
      </c>
      <c r="E184" s="276" t="s">
        <v>13</v>
      </c>
      <c r="F184" s="276" t="s">
        <v>13</v>
      </c>
      <c r="G184" s="276" t="s">
        <v>13</v>
      </c>
      <c r="H184" s="301" t="s">
        <v>13</v>
      </c>
      <c r="I184" s="234"/>
      <c r="J184" s="234"/>
      <c r="K184" s="234"/>
    </row>
    <row r="185" spans="1:11" x14ac:dyDescent="0.25">
      <c r="A185" s="317" t="s">
        <v>313</v>
      </c>
      <c r="B185" s="312"/>
      <c r="C185" s="241">
        <v>-7493.01</v>
      </c>
      <c r="D185" s="241">
        <v>-6511.1</v>
      </c>
      <c r="E185" s="241">
        <v>-6511.1</v>
      </c>
      <c r="F185" s="241">
        <v>-15409.85</v>
      </c>
      <c r="G185" s="241">
        <v>-15000</v>
      </c>
      <c r="H185" s="264">
        <v>-15300</v>
      </c>
      <c r="I185" s="234"/>
      <c r="J185" s="234"/>
      <c r="K185" s="234"/>
    </row>
    <row r="186" spans="1:11" x14ac:dyDescent="0.25">
      <c r="A186" s="318" t="s">
        <v>314</v>
      </c>
      <c r="B186" s="309"/>
      <c r="C186" s="242">
        <v>0</v>
      </c>
      <c r="D186" s="241">
        <v>0</v>
      </c>
      <c r="E186" s="241">
        <v>0</v>
      </c>
      <c r="F186" s="241">
        <v>-40619.449999999997</v>
      </c>
      <c r="G186" s="277">
        <v>0</v>
      </c>
      <c r="H186" s="264">
        <v>0</v>
      </c>
      <c r="I186" s="234"/>
      <c r="J186" s="234"/>
      <c r="K186" s="234"/>
    </row>
    <row r="187" spans="1:11" ht="15.75" thickBot="1" x14ac:dyDescent="0.3">
      <c r="A187" s="1104" t="s">
        <v>80</v>
      </c>
      <c r="B187" s="1105"/>
      <c r="C187" s="244">
        <v>-7493.01</v>
      </c>
      <c r="D187" s="244">
        <v>-6511.1</v>
      </c>
      <c r="E187" s="244">
        <v>-6511.1</v>
      </c>
      <c r="F187" s="244">
        <v>-56029.299999999996</v>
      </c>
      <c r="G187" s="244">
        <v>-15000</v>
      </c>
      <c r="H187" s="280">
        <v>-15300</v>
      </c>
      <c r="I187" s="234"/>
      <c r="J187" s="234"/>
      <c r="K187" s="234"/>
    </row>
    <row r="189" spans="1:11" x14ac:dyDescent="0.25">
      <c r="A189" s="246" t="s">
        <v>82</v>
      </c>
      <c r="B189" s="234"/>
      <c r="C189" s="234"/>
      <c r="D189" s="234"/>
      <c r="E189" s="234"/>
      <c r="F189" s="234"/>
      <c r="G189" s="234"/>
      <c r="H189" s="234"/>
      <c r="I189" s="234"/>
      <c r="J189" s="234"/>
      <c r="K189" s="234"/>
    </row>
    <row r="190" spans="1:11" x14ac:dyDescent="0.25">
      <c r="A190" s="281">
        <v>1</v>
      </c>
      <c r="B190" s="240" t="s">
        <v>315</v>
      </c>
      <c r="C190" s="234"/>
      <c r="D190" s="234"/>
      <c r="E190" s="234"/>
      <c r="F190" s="234"/>
      <c r="G190" s="234"/>
      <c r="H190" s="234"/>
      <c r="I190" s="234"/>
      <c r="J190" s="234"/>
      <c r="K190" s="234"/>
    </row>
    <row r="191" spans="1:11" x14ac:dyDescent="0.25">
      <c r="A191" s="281">
        <v>2</v>
      </c>
      <c r="B191" s="1118" t="s">
        <v>316</v>
      </c>
      <c r="C191" s="1118"/>
      <c r="D191" s="1118"/>
      <c r="E191" s="1118"/>
      <c r="F191" s="1118"/>
      <c r="G191" s="1118"/>
      <c r="H191" s="1118"/>
      <c r="I191" s="234"/>
      <c r="J191" s="234"/>
      <c r="K191" s="234"/>
    </row>
    <row r="192" spans="1:11" x14ac:dyDescent="0.25">
      <c r="A192" s="281"/>
      <c r="B192" s="234"/>
      <c r="C192" s="234"/>
      <c r="D192" s="234"/>
      <c r="E192" s="234"/>
      <c r="F192" s="234"/>
      <c r="G192" s="234"/>
      <c r="H192" s="234"/>
      <c r="I192" s="234"/>
      <c r="J192" s="234"/>
      <c r="K192" s="234"/>
    </row>
    <row r="193" spans="1:8" x14ac:dyDescent="0.25">
      <c r="A193" s="281"/>
      <c r="B193" s="234"/>
      <c r="C193" s="234"/>
      <c r="D193" s="234"/>
      <c r="E193" s="234"/>
      <c r="F193" s="234"/>
      <c r="G193" s="234"/>
      <c r="H193" s="234"/>
    </row>
    <row r="195" spans="1:8" x14ac:dyDescent="0.25">
      <c r="A195" s="234"/>
      <c r="B195" s="1116"/>
      <c r="C195" s="1117"/>
      <c r="D195" s="1117"/>
      <c r="E195" s="1117"/>
      <c r="F195" s="1117"/>
      <c r="G195" s="1117"/>
      <c r="H195" s="1117"/>
    </row>
    <row r="196" spans="1:8" x14ac:dyDescent="0.25">
      <c r="A196" s="234"/>
      <c r="B196" s="1116"/>
      <c r="C196" s="1117"/>
      <c r="D196" s="1117"/>
      <c r="E196" s="1117"/>
      <c r="F196" s="1117"/>
      <c r="G196" s="1117"/>
      <c r="H196" s="1117"/>
    </row>
    <row r="197" spans="1:8" x14ac:dyDescent="0.25">
      <c r="A197" s="234"/>
      <c r="B197" s="1116"/>
      <c r="C197" s="1117"/>
      <c r="D197" s="1117"/>
      <c r="E197" s="1117"/>
      <c r="F197" s="1117"/>
      <c r="G197" s="1117"/>
      <c r="H197" s="1117"/>
    </row>
  </sheetData>
  <customSheetViews>
    <customSheetView guid="{FEE3C04B-CD27-4551-A1CF-8272225D231B}" topLeftCell="A178">
      <selection activeCell="B194" sqref="B194"/>
      <pageMargins left="0.7" right="0.7" top="0.75" bottom="0.75" header="0.3" footer="0.3"/>
    </customSheetView>
    <customSheetView guid="{957A2981-C0FE-4A89-90AC-F40944F7258F}" topLeftCell="A166">
      <selection activeCell="B194" sqref="B194"/>
      <pageMargins left="0.7" right="0.7" top="0.75" bottom="0.75" header="0.3" footer="0.3"/>
    </customSheetView>
    <customSheetView guid="{AE01795C-0F1A-4D22-B411-4CB1D681CFC8}" topLeftCell="A178">
      <selection activeCell="B194" sqref="B194"/>
      <pageMargins left="0.7" right="0.7" top="0.75" bottom="0.75" header="0.3" footer="0.3"/>
    </customSheetView>
  </customSheetViews>
  <mergeCells count="51">
    <mergeCell ref="B196:H196"/>
    <mergeCell ref="B197:H197"/>
    <mergeCell ref="A179:B179"/>
    <mergeCell ref="A184:B184"/>
    <mergeCell ref="A187:B187"/>
    <mergeCell ref="B191:H191"/>
    <mergeCell ref="B195:H195"/>
    <mergeCell ref="A168:B168"/>
    <mergeCell ref="A173:B173"/>
    <mergeCell ref="A174:B174"/>
    <mergeCell ref="A177:B177"/>
    <mergeCell ref="A178:B178"/>
    <mergeCell ref="A150:B150"/>
    <mergeCell ref="A155:B155"/>
    <mergeCell ref="A156:B156"/>
    <mergeCell ref="A157:B157"/>
    <mergeCell ref="A162:B162"/>
    <mergeCell ref="A130:B130"/>
    <mergeCell ref="A131:B131"/>
    <mergeCell ref="A132:B132"/>
    <mergeCell ref="A137:B137"/>
    <mergeCell ref="A149:B149"/>
    <mergeCell ref="A113:B113"/>
    <mergeCell ref="A117:B117"/>
    <mergeCell ref="A122:B122"/>
    <mergeCell ref="A123:B123"/>
    <mergeCell ref="A125:B125"/>
    <mergeCell ref="A92:B92"/>
    <mergeCell ref="A97:B97"/>
    <mergeCell ref="A101:B101"/>
    <mergeCell ref="A106:B106"/>
    <mergeCell ref="A108:B108"/>
    <mergeCell ref="A64:H64"/>
    <mergeCell ref="A67:H68"/>
    <mergeCell ref="A73:B73"/>
    <mergeCell ref="A81:B81"/>
    <mergeCell ref="A86:B86"/>
    <mergeCell ref="A58:B58"/>
    <mergeCell ref="A59:B59"/>
    <mergeCell ref="C59:H59"/>
    <mergeCell ref="A60:B60"/>
    <mergeCell ref="C60:H61"/>
    <mergeCell ref="A53:B53"/>
    <mergeCell ref="A54:B54"/>
    <mergeCell ref="A57:B57"/>
    <mergeCell ref="A9:H9"/>
    <mergeCell ref="A10:H10"/>
    <mergeCell ref="A52:B52"/>
    <mergeCell ref="A50:B50"/>
    <mergeCell ref="A51:B51"/>
    <mergeCell ref="A49:H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tabSelected="1" topLeftCell="B106" workbookViewId="0">
      <selection activeCell="D122" sqref="D122"/>
    </sheetView>
  </sheetViews>
  <sheetFormatPr defaultRowHeight="15" x14ac:dyDescent="0.25"/>
  <cols>
    <col min="1" max="1" width="23.42578125" bestFit="1" customWidth="1"/>
    <col min="2" max="2" width="13.28515625" bestFit="1" customWidth="1"/>
    <col min="3" max="3" width="13.85546875" bestFit="1" customWidth="1"/>
    <col min="4" max="9" width="14.28515625" bestFit="1" customWidth="1"/>
    <col min="15" max="15" width="15.28515625" bestFit="1" customWidth="1"/>
  </cols>
  <sheetData>
    <row r="1" spans="1:10" x14ac:dyDescent="0.25">
      <c r="A1" s="786"/>
      <c r="B1" s="786"/>
      <c r="C1" s="786"/>
      <c r="D1" s="786"/>
      <c r="E1" s="786"/>
      <c r="F1" s="786"/>
      <c r="G1" s="788" t="s">
        <v>0</v>
      </c>
      <c r="H1" s="888">
        <v>0</v>
      </c>
      <c r="I1" s="789"/>
      <c r="J1" s="888"/>
    </row>
    <row r="2" spans="1:10" x14ac:dyDescent="0.25">
      <c r="A2" s="786"/>
      <c r="B2" s="786"/>
      <c r="C2" s="786"/>
      <c r="D2" s="786"/>
      <c r="E2" s="786"/>
      <c r="F2" s="786"/>
      <c r="G2" s="788" t="s">
        <v>1</v>
      </c>
      <c r="H2" s="784"/>
      <c r="I2" s="789"/>
      <c r="J2" s="790"/>
    </row>
    <row r="3" spans="1:10" x14ac:dyDescent="0.25">
      <c r="A3" s="786"/>
      <c r="B3" s="786"/>
      <c r="C3" s="786"/>
      <c r="D3" s="786"/>
      <c r="E3" s="786"/>
      <c r="F3" s="786"/>
      <c r="G3" s="788" t="s">
        <v>2</v>
      </c>
      <c r="H3" s="784"/>
      <c r="I3" s="789"/>
      <c r="J3" s="790"/>
    </row>
    <row r="4" spans="1:10" x14ac:dyDescent="0.25">
      <c r="A4" s="786"/>
      <c r="B4" s="786"/>
      <c r="C4" s="786"/>
      <c r="D4" s="786"/>
      <c r="E4" s="786"/>
      <c r="F4" s="786"/>
      <c r="G4" s="788" t="s">
        <v>3</v>
      </c>
      <c r="H4" s="784"/>
      <c r="I4" s="789"/>
      <c r="J4" s="790"/>
    </row>
    <row r="5" spans="1:10" x14ac:dyDescent="0.25">
      <c r="A5" s="786"/>
      <c r="B5" s="786"/>
      <c r="C5" s="786"/>
      <c r="D5" s="786"/>
      <c r="E5" s="786"/>
      <c r="F5" s="786"/>
      <c r="G5" s="788" t="s">
        <v>4</v>
      </c>
      <c r="H5" s="785"/>
      <c r="I5" s="789"/>
      <c r="J5" s="791"/>
    </row>
    <row r="6" spans="1:10" x14ac:dyDescent="0.25">
      <c r="A6" s="786"/>
      <c r="B6" s="786"/>
      <c r="C6" s="786"/>
      <c r="D6" s="786"/>
      <c r="E6" s="786"/>
      <c r="F6" s="786"/>
      <c r="G6" s="788"/>
      <c r="H6" s="888"/>
      <c r="I6" s="789"/>
      <c r="J6" s="791"/>
    </row>
    <row r="7" spans="1:10" x14ac:dyDescent="0.25">
      <c r="A7" s="786"/>
      <c r="B7" s="786"/>
      <c r="C7" s="786"/>
      <c r="D7" s="786"/>
      <c r="E7" s="786"/>
      <c r="F7" s="786"/>
      <c r="G7" s="788" t="s">
        <v>5</v>
      </c>
      <c r="H7" s="785"/>
      <c r="I7" s="789"/>
      <c r="J7" s="791"/>
    </row>
    <row r="8" spans="1:10" x14ac:dyDescent="0.25">
      <c r="A8" s="786"/>
      <c r="B8" s="786"/>
      <c r="C8" s="786"/>
      <c r="D8" s="786"/>
      <c r="E8" s="786"/>
      <c r="F8" s="786"/>
      <c r="G8" s="787"/>
      <c r="H8" s="786"/>
      <c r="I8" s="786"/>
      <c r="J8" s="786"/>
    </row>
    <row r="9" spans="1:10" ht="18" x14ac:dyDescent="0.25">
      <c r="A9" s="1120" t="s">
        <v>680</v>
      </c>
      <c r="B9" s="1120"/>
      <c r="C9" s="1120"/>
      <c r="D9" s="1120"/>
      <c r="E9" s="1120"/>
      <c r="F9" s="1120"/>
      <c r="G9" s="1120"/>
      <c r="H9" s="1120"/>
      <c r="I9" s="786"/>
      <c r="J9" s="786"/>
    </row>
    <row r="10" spans="1:10" ht="18" x14ac:dyDescent="0.25">
      <c r="A10" s="1120" t="s">
        <v>681</v>
      </c>
      <c r="B10" s="1120"/>
      <c r="C10" s="1120"/>
      <c r="D10" s="1120"/>
      <c r="E10" s="1120"/>
      <c r="F10" s="1120"/>
      <c r="G10" s="1120"/>
      <c r="H10" s="1120"/>
      <c r="I10" s="786"/>
      <c r="J10" s="786"/>
    </row>
    <row r="11" spans="1:10" x14ac:dyDescent="0.25">
      <c r="A11" s="783"/>
      <c r="B11" s="783"/>
      <c r="C11" s="783"/>
      <c r="D11" s="783"/>
      <c r="E11" s="783"/>
      <c r="F11" s="783"/>
      <c r="G11" s="783"/>
      <c r="H11" s="783"/>
      <c r="I11" s="783"/>
      <c r="J11" s="783"/>
    </row>
    <row r="12" spans="1:10" x14ac:dyDescent="0.25">
      <c r="A12" s="1119" t="s">
        <v>682</v>
      </c>
      <c r="B12" s="1119"/>
      <c r="C12" s="1119"/>
      <c r="D12" s="1119"/>
      <c r="E12" s="1119"/>
      <c r="F12" s="1119"/>
      <c r="G12" s="1119"/>
      <c r="H12" s="1119"/>
      <c r="I12" s="783"/>
      <c r="J12" s="783"/>
    </row>
    <row r="13" spans="1:10" x14ac:dyDescent="0.25">
      <c r="A13" s="783"/>
      <c r="B13" s="783"/>
      <c r="C13" s="783"/>
      <c r="D13" s="783"/>
      <c r="E13" s="783"/>
      <c r="F13" s="783"/>
      <c r="G13" s="783"/>
      <c r="H13" s="783"/>
      <c r="I13" s="783"/>
      <c r="J13" s="783"/>
    </row>
    <row r="14" spans="1:10" x14ac:dyDescent="0.25">
      <c r="A14" s="1119" t="s">
        <v>683</v>
      </c>
      <c r="B14" s="1119"/>
      <c r="C14" s="1119"/>
      <c r="D14" s="1119"/>
      <c r="E14" s="1119"/>
      <c r="F14" s="1119"/>
      <c r="G14" s="1119"/>
      <c r="H14" s="1119"/>
      <c r="I14" s="783"/>
      <c r="J14" s="783"/>
    </row>
    <row r="15" spans="1:10" x14ac:dyDescent="0.25">
      <c r="A15" s="783"/>
      <c r="B15" s="783"/>
      <c r="C15" s="783"/>
      <c r="D15" s="783"/>
      <c r="E15" s="783"/>
      <c r="F15" s="783"/>
      <c r="G15" s="783"/>
      <c r="H15" s="783"/>
      <c r="I15" s="783"/>
      <c r="J15" s="783"/>
    </row>
    <row r="16" spans="1:10" x14ac:dyDescent="0.25">
      <c r="A16" s="1119" t="s">
        <v>684</v>
      </c>
      <c r="B16" s="1119"/>
      <c r="C16" s="1119"/>
      <c r="D16" s="1119"/>
      <c r="E16" s="1119"/>
      <c r="F16" s="1119"/>
      <c r="G16" s="1119"/>
      <c r="H16" s="1119"/>
      <c r="I16" s="783"/>
      <c r="J16" s="783"/>
    </row>
    <row r="17" spans="1:8" x14ac:dyDescent="0.25">
      <c r="A17" s="783"/>
      <c r="B17" s="783"/>
      <c r="C17" s="783"/>
      <c r="D17" s="783"/>
      <c r="E17" s="783"/>
      <c r="F17" s="783"/>
      <c r="G17" s="783"/>
      <c r="H17" s="783"/>
    </row>
    <row r="18" spans="1:8" x14ac:dyDescent="0.25">
      <c r="A18" s="1119" t="s">
        <v>685</v>
      </c>
      <c r="B18" s="1119"/>
      <c r="C18" s="1119"/>
      <c r="D18" s="1119"/>
      <c r="E18" s="1119"/>
      <c r="F18" s="1119"/>
      <c r="G18" s="1119"/>
      <c r="H18" s="1119"/>
    </row>
    <row r="19" spans="1:8" x14ac:dyDescent="0.25">
      <c r="A19" s="783"/>
      <c r="B19" s="783"/>
      <c r="C19" s="783"/>
      <c r="D19" s="783"/>
      <c r="E19" s="783"/>
      <c r="F19" s="783"/>
      <c r="G19" s="783"/>
      <c r="H19" s="783"/>
    </row>
    <row r="20" spans="1:8" ht="18.75" x14ac:dyDescent="0.25">
      <c r="A20" s="1124" t="s">
        <v>686</v>
      </c>
      <c r="B20" s="1124"/>
      <c r="C20" s="1124"/>
      <c r="D20" s="1124"/>
      <c r="E20" s="1124"/>
      <c r="F20" s="1124"/>
      <c r="G20" s="1124"/>
      <c r="H20" s="1124"/>
    </row>
    <row r="21" spans="1:8" x14ac:dyDescent="0.25">
      <c r="A21" s="783"/>
      <c r="B21" s="783"/>
      <c r="C21" s="783"/>
      <c r="D21" s="783"/>
      <c r="E21" s="783"/>
      <c r="F21" s="783"/>
      <c r="G21" s="783"/>
      <c r="H21" s="783"/>
    </row>
    <row r="22" spans="1:8" x14ac:dyDescent="0.25">
      <c r="A22" s="1125" t="s">
        <v>687</v>
      </c>
      <c r="B22" s="1125"/>
      <c r="C22" s="1125"/>
      <c r="D22" s="1125"/>
      <c r="E22" s="1125"/>
      <c r="F22" s="1125"/>
      <c r="G22" s="1125"/>
      <c r="H22" s="1125"/>
    </row>
    <row r="23" spans="1:8" x14ac:dyDescent="0.25">
      <c r="A23" s="898"/>
      <c r="B23" s="898"/>
      <c r="C23" s="898"/>
      <c r="D23" s="898"/>
      <c r="E23" s="898"/>
      <c r="F23" s="898"/>
      <c r="G23" s="783"/>
      <c r="H23" s="783"/>
    </row>
    <row r="24" spans="1:8" x14ac:dyDescent="0.25">
      <c r="A24" s="1126" t="s">
        <v>688</v>
      </c>
      <c r="B24" s="1126"/>
      <c r="C24" s="1126"/>
      <c r="D24" s="1126"/>
      <c r="E24" s="1126"/>
      <c r="F24" s="1126"/>
      <c r="G24" s="1126"/>
      <c r="H24" s="1126"/>
    </row>
    <row r="25" spans="1:8" x14ac:dyDescent="0.25">
      <c r="A25" s="898"/>
      <c r="B25" s="898"/>
      <c r="C25" s="898"/>
      <c r="D25" s="898"/>
      <c r="E25" s="898"/>
      <c r="F25" s="898"/>
      <c r="G25" s="783"/>
      <c r="H25" s="783"/>
    </row>
    <row r="26" spans="1:8" x14ac:dyDescent="0.25">
      <c r="A26" s="1126" t="s">
        <v>689</v>
      </c>
      <c r="B26" s="1126"/>
      <c r="C26" s="1126"/>
      <c r="D26" s="1126"/>
      <c r="E26" s="1126"/>
      <c r="F26" s="1126"/>
      <c r="G26" s="1126"/>
      <c r="H26" s="1126"/>
    </row>
    <row r="27" spans="1:8" x14ac:dyDescent="0.25">
      <c r="A27" s="792"/>
      <c r="B27" s="899"/>
      <c r="C27" s="899"/>
      <c r="D27" s="899"/>
      <c r="E27" s="899"/>
      <c r="F27" s="899"/>
      <c r="G27" s="783"/>
      <c r="H27" s="783"/>
    </row>
    <row r="28" spans="1:8" x14ac:dyDescent="0.25">
      <c r="A28" s="1126" t="s">
        <v>690</v>
      </c>
      <c r="B28" s="1126"/>
      <c r="C28" s="1126"/>
      <c r="D28" s="1126"/>
      <c r="E28" s="1126"/>
      <c r="F28" s="1126"/>
      <c r="G28" s="1126"/>
      <c r="H28" s="1126"/>
    </row>
    <row r="29" spans="1:8" x14ac:dyDescent="0.25">
      <c r="A29" s="792"/>
      <c r="B29" s="899"/>
      <c r="C29" s="899"/>
      <c r="D29" s="899"/>
      <c r="E29" s="899"/>
      <c r="F29" s="899"/>
      <c r="G29" s="783"/>
      <c r="H29" s="783"/>
    </row>
    <row r="30" spans="1:8" x14ac:dyDescent="0.25">
      <c r="A30" s="1126" t="s">
        <v>691</v>
      </c>
      <c r="B30" s="1126"/>
      <c r="C30" s="1126"/>
      <c r="D30" s="1126"/>
      <c r="E30" s="1126"/>
      <c r="F30" s="1126"/>
      <c r="G30" s="1126"/>
      <c r="H30" s="1126"/>
    </row>
    <row r="31" spans="1:8" x14ac:dyDescent="0.25">
      <c r="A31" s="1126"/>
      <c r="B31" s="1126"/>
      <c r="C31" s="1126"/>
      <c r="D31" s="1126"/>
      <c r="E31" s="1126"/>
      <c r="F31" s="1126"/>
      <c r="G31" s="1126"/>
      <c r="H31" s="1126"/>
    </row>
    <row r="32" spans="1:8" ht="15.75" thickBot="1" x14ac:dyDescent="0.3">
      <c r="A32" s="793"/>
      <c r="B32" s="899"/>
      <c r="C32" s="899"/>
      <c r="D32" s="899"/>
      <c r="E32" s="899"/>
      <c r="F32" s="899"/>
      <c r="G32" s="783"/>
      <c r="H32" s="783"/>
    </row>
    <row r="33" spans="1:14" x14ac:dyDescent="0.25">
      <c r="A33" s="1127" t="s">
        <v>692</v>
      </c>
      <c r="B33" s="1128"/>
      <c r="C33" s="1128"/>
      <c r="D33" s="1128"/>
      <c r="E33" s="1128"/>
      <c r="F33" s="1129"/>
      <c r="G33" s="1137" t="s">
        <v>693</v>
      </c>
      <c r="H33" s="1138"/>
      <c r="I33" s="783"/>
      <c r="J33" s="783"/>
      <c r="K33" s="783"/>
      <c r="L33" s="783"/>
      <c r="M33" s="783"/>
      <c r="N33" s="783"/>
    </row>
    <row r="34" spans="1:14" x14ac:dyDescent="0.25">
      <c r="A34" s="1130">
        <v>48920000</v>
      </c>
      <c r="B34" s="1131"/>
      <c r="C34" s="1131"/>
      <c r="D34" s="1131"/>
      <c r="E34" s="1131"/>
      <c r="F34" s="1132"/>
      <c r="G34" s="1139"/>
      <c r="H34" s="1140"/>
      <c r="I34" s="783"/>
      <c r="J34" s="783"/>
      <c r="K34" s="783"/>
      <c r="L34" s="783"/>
      <c r="M34" s="783"/>
      <c r="N34" s="783"/>
    </row>
    <row r="35" spans="1:14" x14ac:dyDescent="0.25">
      <c r="A35" s="794"/>
      <c r="B35" s="795">
        <v>2011</v>
      </c>
      <c r="C35" s="795">
        <v>2012</v>
      </c>
      <c r="D35" s="795">
        <v>2013</v>
      </c>
      <c r="E35" s="795">
        <v>2014</v>
      </c>
      <c r="F35" s="796" t="s">
        <v>80</v>
      </c>
      <c r="G35" s="797">
        <v>2015</v>
      </c>
      <c r="H35" s="798">
        <v>2016</v>
      </c>
      <c r="I35" s="783"/>
      <c r="J35" s="783"/>
      <c r="K35" s="789">
        <v>2011</v>
      </c>
      <c r="L35" s="789">
        <v>2012</v>
      </c>
      <c r="M35" s="789">
        <v>2013</v>
      </c>
      <c r="N35" s="789">
        <v>2014</v>
      </c>
    </row>
    <row r="36" spans="1:14" x14ac:dyDescent="0.25">
      <c r="A36" s="900" t="s">
        <v>694</v>
      </c>
      <c r="B36" s="799">
        <v>5.633580666490165E-2</v>
      </c>
      <c r="C36" s="799">
        <v>5.6174586861511118E-2</v>
      </c>
      <c r="D36" s="799">
        <v>5.6123577358965483E-2</v>
      </c>
      <c r="E36" s="800">
        <v>5.4817686053080857E-2</v>
      </c>
      <c r="F36" s="801">
        <v>0.22345165693845909</v>
      </c>
      <c r="G36" s="802"/>
      <c r="H36" s="803"/>
      <c r="I36" s="783"/>
      <c r="J36" s="789" t="s">
        <v>694</v>
      </c>
      <c r="K36" s="804">
        <v>0.5</v>
      </c>
      <c r="L36" s="805">
        <v>1</v>
      </c>
      <c r="M36" s="806">
        <v>1</v>
      </c>
      <c r="N36" s="806">
        <v>1</v>
      </c>
    </row>
    <row r="37" spans="1:14" x14ac:dyDescent="0.25">
      <c r="A37" s="900" t="s">
        <v>695</v>
      </c>
      <c r="B37" s="901"/>
      <c r="C37" s="799">
        <v>6.6911425085483311E-2</v>
      </c>
      <c r="D37" s="799">
        <v>6.6911425085483311E-2</v>
      </c>
      <c r="E37" s="800">
        <v>6.6911425085483311E-2</v>
      </c>
      <c r="F37" s="801">
        <v>0.20073427525644993</v>
      </c>
      <c r="G37" s="802"/>
      <c r="H37" s="803"/>
      <c r="I37" s="783"/>
      <c r="J37" s="789" t="s">
        <v>695</v>
      </c>
      <c r="K37" s="783"/>
      <c r="L37" s="805">
        <v>0.5</v>
      </c>
      <c r="M37" s="806">
        <v>1</v>
      </c>
      <c r="N37" s="806">
        <v>1</v>
      </c>
    </row>
    <row r="38" spans="1:14" x14ac:dyDescent="0.25">
      <c r="A38" s="900" t="s">
        <v>696</v>
      </c>
      <c r="B38" s="901"/>
      <c r="C38" s="901"/>
      <c r="D38" s="799">
        <v>6.336676989345677E-2</v>
      </c>
      <c r="E38" s="800">
        <v>6.336676989345677E-2</v>
      </c>
      <c r="F38" s="801">
        <v>0.12673353978691354</v>
      </c>
      <c r="G38" s="802"/>
      <c r="H38" s="803"/>
      <c r="I38" s="783"/>
      <c r="J38" s="789" t="s">
        <v>696</v>
      </c>
      <c r="K38" s="783"/>
      <c r="L38" s="783"/>
      <c r="M38" s="806">
        <v>0.5</v>
      </c>
      <c r="N38" s="806">
        <v>1</v>
      </c>
    </row>
    <row r="39" spans="1:14" ht="15.75" thickBot="1" x14ac:dyDescent="0.3">
      <c r="A39" s="902" t="s">
        <v>697</v>
      </c>
      <c r="B39" s="903"/>
      <c r="C39" s="903"/>
      <c r="D39" s="903"/>
      <c r="E39" s="807">
        <v>0.44908052801817744</v>
      </c>
      <c r="F39" s="808">
        <v>0.44908052801817744</v>
      </c>
      <c r="G39" s="802"/>
      <c r="H39" s="803"/>
      <c r="I39" s="783"/>
      <c r="J39" s="789" t="s">
        <v>697</v>
      </c>
      <c r="K39" s="783"/>
      <c r="L39" s="783"/>
      <c r="M39" s="783"/>
      <c r="N39" s="806">
        <v>0.5</v>
      </c>
    </row>
    <row r="40" spans="1:14" ht="15.75" thickTop="1" x14ac:dyDescent="0.25">
      <c r="A40" s="797" t="s">
        <v>698</v>
      </c>
      <c r="B40" s="809">
        <v>5.633580666490165E-2</v>
      </c>
      <c r="C40" s="809">
        <v>0.12308601194699442</v>
      </c>
      <c r="D40" s="809">
        <v>0.18640177233790556</v>
      </c>
      <c r="E40" s="810">
        <v>0.63417640905019834</v>
      </c>
      <c r="F40" s="811">
        <v>1</v>
      </c>
      <c r="G40" s="802"/>
      <c r="H40" s="803"/>
      <c r="I40" s="783"/>
      <c r="J40" s="783"/>
      <c r="K40" s="783"/>
      <c r="L40" s="783"/>
      <c r="M40" s="783"/>
      <c r="N40" s="783"/>
    </row>
    <row r="41" spans="1:14" x14ac:dyDescent="0.25">
      <c r="A41" s="1133" t="s">
        <v>504</v>
      </c>
      <c r="B41" s="1134"/>
      <c r="C41" s="1134"/>
      <c r="D41" s="1134"/>
      <c r="E41" s="1134"/>
      <c r="F41" s="1135"/>
      <c r="G41" s="802"/>
      <c r="H41" s="803"/>
      <c r="I41" s="783"/>
      <c r="J41" s="783"/>
      <c r="K41" s="783"/>
      <c r="L41" s="783"/>
      <c r="M41" s="783"/>
      <c r="N41" s="783"/>
    </row>
    <row r="42" spans="1:14" x14ac:dyDescent="0.25">
      <c r="A42" s="900" t="s">
        <v>694</v>
      </c>
      <c r="B42" s="812">
        <v>4515774</v>
      </c>
      <c r="C42" s="812">
        <v>4502850.9189342298</v>
      </c>
      <c r="D42" s="812">
        <v>4498762.0916148899</v>
      </c>
      <c r="E42" s="812">
        <v>4394084.261384869</v>
      </c>
      <c r="F42" s="813">
        <f>SUM(B42:E42)</f>
        <v>17911471.271933988</v>
      </c>
      <c r="G42" s="889">
        <v>4394084.261384869</v>
      </c>
      <c r="H42" s="890">
        <v>4394084.261384869</v>
      </c>
      <c r="I42" s="783"/>
      <c r="J42" s="783"/>
      <c r="K42" s="783"/>
      <c r="L42" s="783"/>
      <c r="M42" s="783"/>
      <c r="N42" s="783"/>
    </row>
    <row r="43" spans="1:14" x14ac:dyDescent="0.25">
      <c r="A43" s="900" t="s">
        <v>695</v>
      </c>
      <c r="B43" s="814"/>
      <c r="C43" s="812">
        <v>5363496</v>
      </c>
      <c r="D43" s="812">
        <v>5363496</v>
      </c>
      <c r="E43" s="812">
        <v>5363496</v>
      </c>
      <c r="F43" s="813">
        <f t="shared" ref="F43:F45" si="0">SUM(B43:E43)</f>
        <v>16090488</v>
      </c>
      <c r="G43" s="889">
        <v>5363496</v>
      </c>
      <c r="H43" s="890">
        <v>5363496</v>
      </c>
      <c r="I43" s="783"/>
      <c r="J43" s="783"/>
      <c r="K43" s="783"/>
      <c r="L43" s="783"/>
      <c r="M43" s="783"/>
      <c r="N43" s="783"/>
    </row>
    <row r="44" spans="1:14" x14ac:dyDescent="0.25">
      <c r="A44" s="900" t="s">
        <v>696</v>
      </c>
      <c r="B44" s="814"/>
      <c r="C44" s="814"/>
      <c r="D44" s="812">
        <v>5079363</v>
      </c>
      <c r="E44" s="812">
        <v>5079363</v>
      </c>
      <c r="F44" s="813">
        <f t="shared" si="0"/>
        <v>10158726</v>
      </c>
      <c r="G44" s="889">
        <v>5079363</v>
      </c>
      <c r="H44" s="890">
        <v>5079363</v>
      </c>
      <c r="I44" s="783"/>
      <c r="J44" s="783"/>
      <c r="K44" s="783"/>
      <c r="L44" s="783"/>
      <c r="M44" s="783"/>
      <c r="N44" s="783"/>
    </row>
    <row r="45" spans="1:14" ht="15.75" thickBot="1" x14ac:dyDescent="0.3">
      <c r="A45" s="902" t="s">
        <v>697</v>
      </c>
      <c r="B45" s="816"/>
      <c r="C45" s="816"/>
      <c r="D45" s="816"/>
      <c r="E45" s="817">
        <v>35997464</v>
      </c>
      <c r="F45" s="818">
        <f t="shared" si="0"/>
        <v>35997464</v>
      </c>
      <c r="G45" s="891">
        <v>35997464</v>
      </c>
      <c r="H45" s="892">
        <v>35997464</v>
      </c>
      <c r="I45" s="783"/>
      <c r="J45" s="783"/>
      <c r="K45" s="783"/>
      <c r="L45" s="783"/>
      <c r="M45" s="783"/>
      <c r="N45" s="783"/>
    </row>
    <row r="46" spans="1:14" ht="16.5" thickTop="1" thickBot="1" x14ac:dyDescent="0.3">
      <c r="A46" s="819" t="s">
        <v>698</v>
      </c>
      <c r="B46" s="820">
        <v>4515774</v>
      </c>
      <c r="C46" s="820">
        <v>9866346.9189342298</v>
      </c>
      <c r="D46" s="820">
        <v>14941621.091614891</v>
      </c>
      <c r="E46" s="821">
        <v>50834407.261384867</v>
      </c>
      <c r="F46" s="822">
        <v>80158149.271933988</v>
      </c>
      <c r="G46" s="823"/>
      <c r="H46" s="824"/>
      <c r="I46" s="783"/>
      <c r="J46" s="783"/>
      <c r="K46" s="783"/>
      <c r="L46" s="783"/>
      <c r="M46" s="783"/>
      <c r="N46" s="783"/>
    </row>
    <row r="47" spans="1:14" x14ac:dyDescent="0.25">
      <c r="A47" s="825"/>
      <c r="B47" s="826"/>
      <c r="C47" s="826"/>
      <c r="D47" s="826"/>
      <c r="E47" s="826"/>
      <c r="F47" s="826"/>
      <c r="G47" s="783"/>
      <c r="H47" s="783"/>
      <c r="I47" s="783"/>
      <c r="J47" s="783"/>
      <c r="K47" s="783"/>
      <c r="L47" s="783"/>
      <c r="M47" s="783"/>
      <c r="N47" s="783"/>
    </row>
    <row r="48" spans="1:14" ht="18.75" x14ac:dyDescent="0.25">
      <c r="A48" s="1124" t="s">
        <v>699</v>
      </c>
      <c r="B48" s="1124"/>
      <c r="C48" s="1124"/>
      <c r="D48" s="1124"/>
      <c r="E48" s="1124"/>
      <c r="F48" s="1124"/>
      <c r="G48" s="783"/>
      <c r="H48" s="783"/>
      <c r="I48" s="783"/>
      <c r="J48" s="783"/>
      <c r="K48" s="783"/>
      <c r="L48" s="783"/>
      <c r="M48" s="783"/>
      <c r="N48" s="783"/>
    </row>
    <row r="49" spans="1:8" x14ac:dyDescent="0.25">
      <c r="A49" s="825"/>
      <c r="B49" s="826"/>
      <c r="C49" s="826"/>
      <c r="D49" s="826"/>
      <c r="E49" s="826"/>
      <c r="F49" s="826"/>
      <c r="G49" s="783"/>
      <c r="H49" s="783"/>
    </row>
    <row r="50" spans="1:8" x14ac:dyDescent="0.25">
      <c r="A50" s="1136" t="s">
        <v>700</v>
      </c>
      <c r="B50" s="1136"/>
      <c r="C50" s="1136"/>
      <c r="D50" s="1136"/>
      <c r="E50" s="1136"/>
      <c r="F50" s="1136"/>
      <c r="G50" s="1136"/>
      <c r="H50" s="1136"/>
    </row>
    <row r="51" spans="1:8" ht="15.75" thickBot="1" x14ac:dyDescent="0.3">
      <c r="A51" s="825"/>
      <c r="B51" s="826"/>
      <c r="C51" s="826"/>
      <c r="D51" s="826"/>
      <c r="E51" s="826"/>
      <c r="F51" s="826"/>
      <c r="G51" s="783"/>
      <c r="H51" s="783"/>
    </row>
    <row r="52" spans="1:8" x14ac:dyDescent="0.25">
      <c r="A52" s="1121" t="s">
        <v>701</v>
      </c>
      <c r="B52" s="1122"/>
      <c r="C52" s="1122"/>
      <c r="D52" s="1122"/>
      <c r="E52" s="1122"/>
      <c r="F52" s="1122"/>
      <c r="G52" s="1122"/>
      <c r="H52" s="1123"/>
    </row>
    <row r="53" spans="1:8" x14ac:dyDescent="0.25">
      <c r="A53" s="1141">
        <v>54320000</v>
      </c>
      <c r="B53" s="1142"/>
      <c r="C53" s="1142"/>
      <c r="D53" s="1142"/>
      <c r="E53" s="1142"/>
      <c r="F53" s="1142"/>
      <c r="G53" s="1142"/>
      <c r="H53" s="1143"/>
    </row>
    <row r="54" spans="1:8" x14ac:dyDescent="0.25">
      <c r="A54" s="827"/>
      <c r="B54" s="828">
        <v>2015</v>
      </c>
      <c r="C54" s="828">
        <v>2016</v>
      </c>
      <c r="D54" s="828">
        <v>2017</v>
      </c>
      <c r="E54" s="828">
        <v>2018</v>
      </c>
      <c r="F54" s="828">
        <v>2019</v>
      </c>
      <c r="G54" s="828">
        <v>2020</v>
      </c>
      <c r="H54" s="829" t="s">
        <v>80</v>
      </c>
    </row>
    <row r="55" spans="1:8" x14ac:dyDescent="0.25">
      <c r="A55" s="1144" t="s">
        <v>452</v>
      </c>
      <c r="B55" s="1145"/>
      <c r="C55" s="1145"/>
      <c r="D55" s="1145"/>
      <c r="E55" s="1145"/>
      <c r="F55" s="1145"/>
      <c r="G55" s="1145"/>
      <c r="H55" s="1146"/>
    </row>
    <row r="56" spans="1:8" x14ac:dyDescent="0.25">
      <c r="A56" s="900" t="s">
        <v>702</v>
      </c>
      <c r="B56" s="799">
        <v>9.6446980854197353E-2</v>
      </c>
      <c r="C56" s="830"/>
      <c r="D56" s="830"/>
      <c r="E56" s="830"/>
      <c r="F56" s="830"/>
      <c r="G56" s="831"/>
      <c r="H56" s="801">
        <v>9.6446980854197353E-2</v>
      </c>
    </row>
    <row r="57" spans="1:8" x14ac:dyDescent="0.25">
      <c r="A57" s="900" t="s">
        <v>703</v>
      </c>
      <c r="B57" s="901"/>
      <c r="C57" s="799">
        <v>0.14230618027305442</v>
      </c>
      <c r="D57" s="830"/>
      <c r="E57" s="830"/>
      <c r="F57" s="830"/>
      <c r="G57" s="831"/>
      <c r="H57" s="801">
        <v>0.14230618027305442</v>
      </c>
    </row>
    <row r="58" spans="1:8" x14ac:dyDescent="0.25">
      <c r="A58" s="900" t="s">
        <v>704</v>
      </c>
      <c r="B58" s="901"/>
      <c r="C58" s="901"/>
      <c r="D58" s="799">
        <v>0.28740199155401525</v>
      </c>
      <c r="E58" s="830"/>
      <c r="F58" s="830"/>
      <c r="G58" s="831"/>
      <c r="H58" s="801">
        <v>0.28740199155401525</v>
      </c>
    </row>
    <row r="59" spans="1:8" x14ac:dyDescent="0.25">
      <c r="A59" s="900" t="s">
        <v>705</v>
      </c>
      <c r="B59" s="901"/>
      <c r="C59" s="901"/>
      <c r="D59" s="799"/>
      <c r="E59" s="799">
        <v>0.24587995170900748</v>
      </c>
      <c r="F59" s="830"/>
      <c r="G59" s="831"/>
      <c r="H59" s="801">
        <v>0.24587995170900748</v>
      </c>
    </row>
    <row r="60" spans="1:8" x14ac:dyDescent="0.25">
      <c r="A60" s="900" t="s">
        <v>706</v>
      </c>
      <c r="B60" s="901"/>
      <c r="C60" s="901"/>
      <c r="D60" s="799"/>
      <c r="E60" s="799"/>
      <c r="F60" s="799">
        <v>0.11465513375947335</v>
      </c>
      <c r="G60" s="831"/>
      <c r="H60" s="801">
        <v>0.11465513375947335</v>
      </c>
    </row>
    <row r="61" spans="1:8" ht="15.75" thickBot="1" x14ac:dyDescent="0.3">
      <c r="A61" s="902" t="s">
        <v>707</v>
      </c>
      <c r="B61" s="903"/>
      <c r="C61" s="903"/>
      <c r="D61" s="903"/>
      <c r="E61" s="903"/>
      <c r="F61" s="903"/>
      <c r="G61" s="807">
        <v>0.11426732192381639</v>
      </c>
      <c r="H61" s="808">
        <v>0.11426732192381639</v>
      </c>
    </row>
    <row r="62" spans="1:8" ht="15.75" thickTop="1" x14ac:dyDescent="0.25">
      <c r="A62" s="832" t="s">
        <v>698</v>
      </c>
      <c r="B62" s="833">
        <v>9.6446980854197353E-2</v>
      </c>
      <c r="C62" s="833">
        <v>0.14230618027305442</v>
      </c>
      <c r="D62" s="833">
        <v>0.28740199155401525</v>
      </c>
      <c r="E62" s="833">
        <v>0.24587995170900748</v>
      </c>
      <c r="F62" s="833">
        <v>0.11465513375947335</v>
      </c>
      <c r="G62" s="834">
        <v>0.11426732192381639</v>
      </c>
      <c r="H62" s="835">
        <v>1.0009575600735641</v>
      </c>
    </row>
    <row r="63" spans="1:8" x14ac:dyDescent="0.25">
      <c r="A63" s="1133" t="s">
        <v>504</v>
      </c>
      <c r="B63" s="1134"/>
      <c r="C63" s="1134"/>
      <c r="D63" s="1134"/>
      <c r="E63" s="1134"/>
      <c r="F63" s="1134"/>
      <c r="G63" s="1134"/>
      <c r="H63" s="1135"/>
    </row>
    <row r="64" spans="1:8" x14ac:dyDescent="0.25">
      <c r="A64" s="900" t="s">
        <v>702</v>
      </c>
      <c r="B64" s="812">
        <v>5239000</v>
      </c>
      <c r="C64" s="812"/>
      <c r="D64" s="830"/>
      <c r="E64" s="836"/>
      <c r="F64" s="836"/>
      <c r="G64" s="837"/>
      <c r="H64" s="813">
        <f>SUM(B64:G64)</f>
        <v>5239000</v>
      </c>
    </row>
    <row r="65" spans="1:15" x14ac:dyDescent="0.25">
      <c r="A65" s="900" t="s">
        <v>703</v>
      </c>
      <c r="B65" s="814"/>
      <c r="C65" s="815">
        <v>7730071.7124323156</v>
      </c>
      <c r="D65" s="838"/>
      <c r="E65" s="838"/>
      <c r="F65" s="838"/>
      <c r="G65" s="839"/>
      <c r="H65" s="813">
        <f t="shared" ref="H65:H69" si="1">SUM(B65:G65)</f>
        <v>7730071.7124323156</v>
      </c>
      <c r="I65" s="783"/>
      <c r="J65" s="783"/>
      <c r="K65" s="783"/>
      <c r="L65" s="783"/>
      <c r="M65" s="783"/>
      <c r="N65" s="783"/>
      <c r="O65" s="783"/>
    </row>
    <row r="66" spans="1:15" x14ac:dyDescent="0.25">
      <c r="A66" s="900" t="s">
        <v>704</v>
      </c>
      <c r="B66" s="814"/>
      <c r="C66" s="814"/>
      <c r="D66" s="815">
        <v>15611676.181214109</v>
      </c>
      <c r="E66" s="838"/>
      <c r="F66" s="838"/>
      <c r="G66" s="839"/>
      <c r="H66" s="813">
        <f t="shared" si="1"/>
        <v>15611676.181214109</v>
      </c>
      <c r="I66" s="783"/>
      <c r="J66" s="783"/>
      <c r="K66" s="783"/>
      <c r="L66" s="783"/>
      <c r="M66" s="783"/>
      <c r="N66" s="783"/>
      <c r="O66" s="783"/>
    </row>
    <row r="67" spans="1:15" x14ac:dyDescent="0.25">
      <c r="A67" s="900" t="s">
        <v>705</v>
      </c>
      <c r="B67" s="814"/>
      <c r="C67" s="814"/>
      <c r="D67" s="840"/>
      <c r="E67" s="812">
        <v>13356198.976833286</v>
      </c>
      <c r="F67" s="836"/>
      <c r="G67" s="837"/>
      <c r="H67" s="813">
        <f t="shared" si="1"/>
        <v>13356198.976833286</v>
      </c>
      <c r="I67" s="783"/>
      <c r="J67" s="783"/>
      <c r="K67" s="783"/>
      <c r="L67" s="783"/>
      <c r="M67" s="783"/>
      <c r="N67" s="783"/>
      <c r="O67" s="783"/>
    </row>
    <row r="68" spans="1:15" x14ac:dyDescent="0.25">
      <c r="A68" s="900" t="s">
        <v>706</v>
      </c>
      <c r="B68" s="814"/>
      <c r="C68" s="814"/>
      <c r="D68" s="840"/>
      <c r="E68" s="840"/>
      <c r="F68" s="812">
        <v>6228066.8658145927</v>
      </c>
      <c r="G68" s="837"/>
      <c r="H68" s="813">
        <f t="shared" si="1"/>
        <v>6228066.8658145927</v>
      </c>
      <c r="I68" s="898" t="s">
        <v>708</v>
      </c>
      <c r="J68" s="783"/>
      <c r="K68" s="783"/>
      <c r="L68" s="783"/>
      <c r="M68" s="783"/>
      <c r="N68" s="783"/>
      <c r="O68" s="898" t="s">
        <v>709</v>
      </c>
    </row>
    <row r="69" spans="1:15" ht="15.75" thickBot="1" x14ac:dyDescent="0.3">
      <c r="A69" s="902" t="s">
        <v>707</v>
      </c>
      <c r="B69" s="816"/>
      <c r="C69" s="816"/>
      <c r="D69" s="816"/>
      <c r="E69" s="816"/>
      <c r="F69" s="816"/>
      <c r="G69" s="817">
        <v>6207000.9269017065</v>
      </c>
      <c r="H69" s="818">
        <f t="shared" si="1"/>
        <v>6207000.9269017065</v>
      </c>
      <c r="I69" s="904">
        <v>54372014.663196005</v>
      </c>
      <c r="J69" s="783"/>
      <c r="K69" s="783"/>
      <c r="L69" s="783"/>
      <c r="M69" s="783"/>
      <c r="N69" s="783"/>
      <c r="O69" s="905">
        <v>54372014.663196012</v>
      </c>
    </row>
    <row r="70" spans="1:15" ht="16.5" thickTop="1" thickBot="1" x14ac:dyDescent="0.3">
      <c r="A70" s="819" t="s">
        <v>698</v>
      </c>
      <c r="B70" s="820">
        <v>5239000</v>
      </c>
      <c r="C70" s="820">
        <v>7730071.7124323156</v>
      </c>
      <c r="D70" s="820">
        <v>15611676.181214109</v>
      </c>
      <c r="E70" s="820">
        <v>13356198.976833286</v>
      </c>
      <c r="F70" s="820">
        <v>6228066.8658145927</v>
      </c>
      <c r="G70" s="821">
        <v>6207000.9269017065</v>
      </c>
      <c r="H70" s="822">
        <v>54320000</v>
      </c>
      <c r="I70" s="783"/>
      <c r="J70" s="783"/>
      <c r="K70" s="783"/>
      <c r="L70" s="783"/>
      <c r="M70" s="783"/>
      <c r="N70" s="783"/>
      <c r="O70" s="783"/>
    </row>
    <row r="71" spans="1:15" x14ac:dyDescent="0.25">
      <c r="A71" s="825"/>
      <c r="B71" s="826"/>
      <c r="C71" s="826"/>
      <c r="D71" s="826"/>
      <c r="E71" s="826"/>
      <c r="F71" s="826"/>
      <c r="G71" s="783"/>
      <c r="H71" s="783"/>
      <c r="I71" s="783"/>
      <c r="J71" s="783"/>
      <c r="K71" s="783"/>
      <c r="L71" s="783"/>
      <c r="M71" s="783"/>
      <c r="N71" s="783"/>
      <c r="O71" s="783"/>
    </row>
    <row r="72" spans="1:15" ht="18.75" x14ac:dyDescent="0.3">
      <c r="A72" s="1147" t="s">
        <v>710</v>
      </c>
      <c r="B72" s="1147"/>
      <c r="C72" s="1147"/>
      <c r="D72" s="1147"/>
      <c r="E72" s="1147"/>
      <c r="F72" s="1147"/>
      <c r="G72" s="1147"/>
      <c r="H72" s="1147"/>
      <c r="I72" s="783"/>
      <c r="J72" s="783"/>
      <c r="K72" s="783"/>
      <c r="L72" s="783"/>
      <c r="M72" s="783"/>
      <c r="N72" s="783"/>
      <c r="O72" s="783"/>
    </row>
    <row r="73" spans="1:15" x14ac:dyDescent="0.25">
      <c r="A73" s="825"/>
      <c r="B73" s="826"/>
      <c r="C73" s="826"/>
      <c r="D73" s="826"/>
      <c r="E73" s="826"/>
      <c r="F73" s="826"/>
      <c r="G73" s="783"/>
      <c r="H73" s="783"/>
      <c r="I73" s="783"/>
      <c r="J73" s="783"/>
      <c r="K73" s="783"/>
      <c r="L73" s="783"/>
      <c r="M73" s="783"/>
      <c r="N73" s="783"/>
      <c r="O73" s="783"/>
    </row>
    <row r="74" spans="1:15" x14ac:dyDescent="0.25">
      <c r="A74" s="1136" t="s">
        <v>711</v>
      </c>
      <c r="B74" s="1136"/>
      <c r="C74" s="1136"/>
      <c r="D74" s="1136"/>
      <c r="E74" s="1136"/>
      <c r="F74" s="1136"/>
      <c r="G74" s="1136"/>
      <c r="H74" s="1136"/>
      <c r="I74" s="783"/>
      <c r="J74" s="783"/>
      <c r="K74" s="783"/>
      <c r="L74" s="783"/>
      <c r="M74" s="783"/>
      <c r="N74" s="783"/>
      <c r="O74" s="783"/>
    </row>
    <row r="75" spans="1:15" x14ac:dyDescent="0.25">
      <c r="A75" s="825"/>
      <c r="B75" s="826"/>
      <c r="C75" s="826"/>
      <c r="D75" s="826"/>
      <c r="E75" s="826"/>
      <c r="F75" s="826"/>
      <c r="G75" s="783"/>
      <c r="H75" s="783"/>
      <c r="I75" s="783"/>
      <c r="J75" s="783"/>
      <c r="K75" s="783"/>
      <c r="L75" s="783"/>
      <c r="M75" s="783"/>
      <c r="N75" s="783"/>
      <c r="O75" s="783"/>
    </row>
    <row r="76" spans="1:15" x14ac:dyDescent="0.25">
      <c r="A76" s="1136" t="s">
        <v>712</v>
      </c>
      <c r="B76" s="1136"/>
      <c r="C76" s="1136"/>
      <c r="D76" s="1136"/>
      <c r="E76" s="1136"/>
      <c r="F76" s="1136"/>
      <c r="G76" s="1136"/>
      <c r="H76" s="1136"/>
      <c r="I76" s="783"/>
      <c r="J76" s="783"/>
      <c r="K76" s="783"/>
      <c r="L76" s="783"/>
      <c r="M76" s="783"/>
      <c r="N76" s="783"/>
      <c r="O76" s="783"/>
    </row>
    <row r="77" spans="1:15" ht="15.75" thickBot="1" x14ac:dyDescent="0.3">
      <c r="A77" s="906"/>
      <c r="B77" s="907"/>
      <c r="C77" s="907"/>
      <c r="D77" s="907"/>
      <c r="E77" s="907"/>
      <c r="F77" s="907"/>
      <c r="G77" s="783"/>
      <c r="H77" s="783"/>
      <c r="I77" s="783"/>
      <c r="J77" s="783"/>
      <c r="K77" s="783"/>
      <c r="L77" s="783"/>
      <c r="M77" s="783"/>
      <c r="N77" s="783"/>
      <c r="O77" s="783"/>
    </row>
    <row r="78" spans="1:15" x14ac:dyDescent="0.25">
      <c r="A78" s="1127" t="s">
        <v>713</v>
      </c>
      <c r="B78" s="1128"/>
      <c r="C78" s="1128"/>
      <c r="D78" s="1128"/>
      <c r="E78" s="1128"/>
      <c r="F78" s="1129"/>
      <c r="G78" s="783"/>
      <c r="H78" s="783"/>
      <c r="I78" s="783"/>
      <c r="J78" s="783"/>
      <c r="K78" s="783"/>
      <c r="L78" s="783"/>
      <c r="M78" s="783"/>
      <c r="N78" s="783"/>
      <c r="O78" s="783"/>
    </row>
    <row r="79" spans="1:15" x14ac:dyDescent="0.25">
      <c r="A79" s="841"/>
      <c r="B79" s="842"/>
      <c r="C79" s="842"/>
      <c r="D79" s="842"/>
      <c r="E79" s="842"/>
      <c r="F79" s="843"/>
      <c r="G79" s="783"/>
      <c r="H79" s="783"/>
      <c r="I79" s="783"/>
      <c r="J79" s="783"/>
      <c r="K79" s="783"/>
      <c r="L79" s="783"/>
      <c r="M79" s="783"/>
      <c r="N79" s="783"/>
      <c r="O79" s="783"/>
    </row>
    <row r="80" spans="1:15" x14ac:dyDescent="0.25">
      <c r="A80" s="1148" t="s">
        <v>714</v>
      </c>
      <c r="B80" s="1149"/>
      <c r="C80" s="1149"/>
      <c r="D80" s="1149"/>
      <c r="E80" s="1149"/>
      <c r="F80" s="844" t="s">
        <v>715</v>
      </c>
      <c r="G80" s="783"/>
      <c r="H80" s="783"/>
      <c r="I80" s="783"/>
      <c r="J80" s="783"/>
      <c r="K80" s="783"/>
      <c r="L80" s="783"/>
      <c r="M80" s="783"/>
      <c r="N80" s="783"/>
      <c r="O80" s="783"/>
    </row>
    <row r="81" spans="1:8" x14ac:dyDescent="0.25">
      <c r="A81" s="845"/>
      <c r="B81" s="846"/>
      <c r="C81" s="846"/>
      <c r="D81" s="846"/>
      <c r="E81" s="846"/>
      <c r="F81" s="847"/>
      <c r="G81" s="783"/>
      <c r="H81" s="783"/>
    </row>
    <row r="82" spans="1:8" ht="60" x14ac:dyDescent="0.25">
      <c r="A82" s="908"/>
      <c r="B82" s="909"/>
      <c r="C82" s="842" t="s">
        <v>716</v>
      </c>
      <c r="D82" s="842" t="s">
        <v>717</v>
      </c>
      <c r="E82" s="842" t="s">
        <v>609</v>
      </c>
      <c r="F82" s="897" t="s">
        <v>718</v>
      </c>
      <c r="G82" s="783"/>
      <c r="H82" s="783"/>
    </row>
    <row r="83" spans="1:8" x14ac:dyDescent="0.25">
      <c r="A83" s="1150" t="s">
        <v>719</v>
      </c>
      <c r="B83" s="1151"/>
      <c r="C83" s="848" t="s">
        <v>504</v>
      </c>
      <c r="D83" s="848" t="s">
        <v>504</v>
      </c>
      <c r="E83" s="848" t="s">
        <v>504</v>
      </c>
      <c r="F83" s="849" t="s">
        <v>720</v>
      </c>
      <c r="G83" s="783"/>
      <c r="H83" s="783"/>
    </row>
    <row r="84" spans="1:8" x14ac:dyDescent="0.25">
      <c r="A84" s="910" t="s">
        <v>721</v>
      </c>
      <c r="B84" s="911"/>
      <c r="C84" s="912">
        <v>15987762.365432093</v>
      </c>
      <c r="D84" s="893">
        <v>10137116.709989993</v>
      </c>
      <c r="E84" s="851"/>
      <c r="F84" s="852"/>
      <c r="G84" s="783"/>
      <c r="H84" s="783"/>
    </row>
    <row r="85" spans="1:8" x14ac:dyDescent="0.25">
      <c r="A85" s="910" t="s">
        <v>722</v>
      </c>
      <c r="B85" s="911"/>
      <c r="C85" s="853" t="s">
        <v>723</v>
      </c>
      <c r="D85" s="894">
        <v>3842745.46</v>
      </c>
      <c r="E85" s="851"/>
      <c r="F85" s="852"/>
      <c r="G85" s="783"/>
      <c r="H85" s="783"/>
    </row>
    <row r="86" spans="1:8" x14ac:dyDescent="0.25">
      <c r="A86" s="910" t="s">
        <v>724</v>
      </c>
      <c r="B86" s="911"/>
      <c r="C86" s="850" t="s">
        <v>723</v>
      </c>
      <c r="D86" s="894">
        <v>5580103</v>
      </c>
      <c r="E86" s="851"/>
      <c r="F86" s="852"/>
      <c r="G86" s="783"/>
      <c r="H86" s="783"/>
    </row>
    <row r="87" spans="1:8" x14ac:dyDescent="0.25">
      <c r="A87" s="910" t="s">
        <v>725</v>
      </c>
      <c r="B87" s="911"/>
      <c r="C87" s="850" t="s">
        <v>723</v>
      </c>
      <c r="D87" s="894">
        <v>6806732</v>
      </c>
      <c r="E87" s="851"/>
      <c r="F87" s="852"/>
      <c r="G87" s="783"/>
      <c r="H87" s="783"/>
    </row>
    <row r="88" spans="1:8" ht="15.75" thickBot="1" x14ac:dyDescent="0.3">
      <c r="A88" s="913" t="s">
        <v>726</v>
      </c>
      <c r="B88" s="914"/>
      <c r="C88" s="854" t="s">
        <v>723</v>
      </c>
      <c r="D88" s="915">
        <v>33032221</v>
      </c>
      <c r="E88" s="851"/>
      <c r="F88" s="852"/>
      <c r="G88" s="783"/>
      <c r="H88" s="783"/>
    </row>
    <row r="89" spans="1:8" ht="16.5" thickTop="1" thickBot="1" x14ac:dyDescent="0.3">
      <c r="A89" s="1152" t="s">
        <v>727</v>
      </c>
      <c r="B89" s="1153"/>
      <c r="C89" s="916">
        <v>15987762.365432093</v>
      </c>
      <c r="D89" s="916">
        <v>59398918.169989988</v>
      </c>
      <c r="E89" s="917">
        <v>-43411155.804557897</v>
      </c>
      <c r="F89" s="855">
        <v>0</v>
      </c>
      <c r="G89" s="783"/>
      <c r="H89" s="783"/>
    </row>
    <row r="90" spans="1:8" x14ac:dyDescent="0.25">
      <c r="A90" s="856"/>
      <c r="B90" s="856"/>
      <c r="C90" s="918"/>
      <c r="D90" s="918"/>
      <c r="E90" s="901"/>
      <c r="F90" s="857"/>
      <c r="G90" s="783"/>
      <c r="H90" s="783"/>
    </row>
    <row r="91" spans="1:8" x14ac:dyDescent="0.25">
      <c r="A91" s="1136" t="s">
        <v>728</v>
      </c>
      <c r="B91" s="1136"/>
      <c r="C91" s="1136"/>
      <c r="D91" s="1136"/>
      <c r="E91" s="1136"/>
      <c r="F91" s="1136"/>
      <c r="G91" s="1136"/>
      <c r="H91" s="1136"/>
    </row>
    <row r="92" spans="1:8" x14ac:dyDescent="0.25">
      <c r="A92" s="919"/>
      <c r="B92" s="919"/>
      <c r="C92" s="919"/>
      <c r="D92" s="919"/>
      <c r="E92" s="919"/>
      <c r="F92" s="919"/>
      <c r="G92" s="919"/>
      <c r="H92" s="919"/>
    </row>
    <row r="93" spans="1:8" x14ac:dyDescent="0.25">
      <c r="A93" s="1136" t="s">
        <v>729</v>
      </c>
      <c r="B93" s="1136"/>
      <c r="C93" s="1136"/>
      <c r="D93" s="1136"/>
      <c r="E93" s="1136"/>
      <c r="F93" s="1136"/>
      <c r="G93" s="1136"/>
      <c r="H93" s="1136"/>
    </row>
    <row r="94" spans="1:8" x14ac:dyDescent="0.25">
      <c r="A94" s="856"/>
      <c r="B94" s="858"/>
      <c r="C94" s="918"/>
      <c r="D94" s="918"/>
      <c r="E94" s="918"/>
      <c r="F94" s="857"/>
      <c r="G94" s="783"/>
      <c r="H94" s="783"/>
    </row>
    <row r="95" spans="1:8" ht="15.75" thickBot="1" x14ac:dyDescent="0.3">
      <c r="A95" s="1155" t="s">
        <v>730</v>
      </c>
      <c r="B95" s="1155"/>
      <c r="C95" s="1155"/>
      <c r="D95" s="1155"/>
      <c r="E95" s="1155"/>
      <c r="F95" s="1155"/>
      <c r="G95" s="859"/>
      <c r="H95" s="783"/>
    </row>
    <row r="96" spans="1:8" x14ac:dyDescent="0.25">
      <c r="A96" s="860"/>
      <c r="B96" s="861">
        <v>2012</v>
      </c>
      <c r="C96" s="861">
        <v>2013</v>
      </c>
      <c r="D96" s="861">
        <v>2014</v>
      </c>
      <c r="E96" s="861">
        <v>2015</v>
      </c>
      <c r="F96" s="862">
        <v>2016</v>
      </c>
      <c r="G96" s="862">
        <v>2017</v>
      </c>
      <c r="H96" s="920"/>
    </row>
    <row r="97" spans="1:8" ht="60" x14ac:dyDescent="0.25">
      <c r="A97" s="863" t="s">
        <v>731</v>
      </c>
      <c r="B97" s="864">
        <v>0</v>
      </c>
      <c r="C97" s="864">
        <v>0</v>
      </c>
      <c r="D97" s="864">
        <v>0</v>
      </c>
      <c r="E97" s="864">
        <v>0</v>
      </c>
      <c r="F97" s="864">
        <v>0</v>
      </c>
      <c r="G97" s="864">
        <v>0.5</v>
      </c>
      <c r="H97" s="921" t="s">
        <v>732</v>
      </c>
    </row>
    <row r="98" spans="1:8" ht="345.75" thickBot="1" x14ac:dyDescent="0.3">
      <c r="A98" s="865" t="s">
        <v>733</v>
      </c>
      <c r="B98" s="866" t="s">
        <v>734</v>
      </c>
      <c r="C98" s="866" t="s">
        <v>735</v>
      </c>
      <c r="D98" s="867" t="s">
        <v>736</v>
      </c>
      <c r="E98" s="867" t="s">
        <v>737</v>
      </c>
      <c r="F98" s="866" t="s">
        <v>738</v>
      </c>
      <c r="G98" s="866" t="s">
        <v>739</v>
      </c>
      <c r="H98" s="855"/>
    </row>
    <row r="99" spans="1:8" x14ac:dyDescent="0.25">
      <c r="A99" s="868"/>
      <c r="B99" s="869"/>
      <c r="C99" s="869"/>
      <c r="D99" s="869"/>
      <c r="E99" s="869"/>
      <c r="F99" s="869"/>
      <c r="G99" s="857"/>
      <c r="H99" s="783"/>
    </row>
    <row r="100" spans="1:8" ht="18.75" x14ac:dyDescent="0.25">
      <c r="A100" s="1156" t="s">
        <v>740</v>
      </c>
      <c r="B100" s="1156"/>
      <c r="C100" s="1156"/>
      <c r="D100" s="1156"/>
      <c r="E100" s="1156"/>
      <c r="F100" s="1156"/>
      <c r="G100" s="1156"/>
      <c r="H100" s="1156"/>
    </row>
    <row r="101" spans="1:8" ht="18.75" x14ac:dyDescent="0.25">
      <c r="A101" s="895"/>
      <c r="B101" s="895"/>
      <c r="C101" s="895"/>
      <c r="D101" s="895"/>
      <c r="E101" s="895"/>
      <c r="F101" s="895"/>
      <c r="G101" s="895"/>
      <c r="H101" s="895"/>
    </row>
    <row r="102" spans="1:8" x14ac:dyDescent="0.25">
      <c r="A102" s="1119" t="s">
        <v>741</v>
      </c>
      <c r="B102" s="1119"/>
      <c r="C102" s="1119"/>
      <c r="D102" s="1119"/>
      <c r="E102" s="1119"/>
      <c r="F102" s="1119"/>
      <c r="G102" s="1119"/>
      <c r="H102" s="1119"/>
    </row>
    <row r="103" spans="1:8" x14ac:dyDescent="0.25">
      <c r="A103" s="856"/>
      <c r="B103" s="869"/>
      <c r="C103" s="869"/>
      <c r="D103" s="869"/>
      <c r="E103" s="869"/>
      <c r="F103" s="857"/>
      <c r="G103" s="783"/>
      <c r="H103" s="783"/>
    </row>
    <row r="104" spans="1:8" x14ac:dyDescent="0.25">
      <c r="A104" s="1119" t="s">
        <v>742</v>
      </c>
      <c r="B104" s="1119"/>
      <c r="C104" s="1119"/>
      <c r="D104" s="1119"/>
      <c r="E104" s="1119"/>
      <c r="F104" s="1119"/>
      <c r="G104" s="1119"/>
      <c r="H104" s="1119"/>
    </row>
    <row r="105" spans="1:8" x14ac:dyDescent="0.25">
      <c r="A105" s="898"/>
      <c r="B105" s="898"/>
      <c r="C105" s="898"/>
      <c r="D105" s="898"/>
      <c r="E105" s="898"/>
      <c r="F105" s="898"/>
      <c r="G105" s="783"/>
      <c r="H105" s="783"/>
    </row>
    <row r="106" spans="1:8" x14ac:dyDescent="0.25">
      <c r="A106" s="1157" t="s">
        <v>743</v>
      </c>
      <c r="B106" s="1157"/>
      <c r="C106" s="1157"/>
      <c r="D106" s="1157"/>
      <c r="E106" s="1157"/>
      <c r="F106" s="1157"/>
      <c r="G106" s="1157"/>
      <c r="H106" s="1157"/>
    </row>
    <row r="107" spans="1:8" x14ac:dyDescent="0.25">
      <c r="A107" s="898"/>
      <c r="B107" s="898"/>
      <c r="C107" s="898"/>
      <c r="D107" s="898"/>
      <c r="E107" s="898"/>
      <c r="F107" s="898"/>
      <c r="G107" s="783"/>
      <c r="H107" s="783"/>
    </row>
    <row r="108" spans="1:8" x14ac:dyDescent="0.25">
      <c r="A108" s="1119" t="s">
        <v>744</v>
      </c>
      <c r="B108" s="1119"/>
      <c r="C108" s="1119"/>
      <c r="D108" s="1119"/>
      <c r="E108" s="1119"/>
      <c r="F108" s="1119"/>
      <c r="G108" s="1119"/>
      <c r="H108" s="1119"/>
    </row>
    <row r="109" spans="1:8" x14ac:dyDescent="0.25">
      <c r="A109" s="898"/>
      <c r="B109" s="898"/>
      <c r="C109" s="898"/>
      <c r="D109" s="898"/>
      <c r="E109" s="898"/>
      <c r="F109" s="898"/>
      <c r="G109" s="783"/>
      <c r="H109" s="783"/>
    </row>
    <row r="110" spans="1:8" x14ac:dyDescent="0.25">
      <c r="A110" s="1119" t="s">
        <v>745</v>
      </c>
      <c r="B110" s="1119"/>
      <c r="C110" s="1119"/>
      <c r="D110" s="1119"/>
      <c r="E110" s="1119"/>
      <c r="F110" s="1119"/>
      <c r="G110" s="1119"/>
      <c r="H110" s="1119"/>
    </row>
    <row r="111" spans="1:8" x14ac:dyDescent="0.25">
      <c r="A111" s="898"/>
      <c r="B111" s="898"/>
      <c r="C111" s="898"/>
      <c r="D111" s="898"/>
      <c r="E111" s="898"/>
      <c r="F111" s="898"/>
      <c r="G111" s="783"/>
      <c r="H111" s="783"/>
    </row>
    <row r="112" spans="1:8" x14ac:dyDescent="0.25">
      <c r="A112" s="1119" t="s">
        <v>746</v>
      </c>
      <c r="B112" s="1119"/>
      <c r="C112" s="1119"/>
      <c r="D112" s="1119"/>
      <c r="E112" s="1119"/>
      <c r="F112" s="1119"/>
      <c r="G112" s="1119"/>
      <c r="H112" s="1119"/>
    </row>
    <row r="113" spans="1:15" ht="15.75" thickBot="1" x14ac:dyDescent="0.3">
      <c r="A113" s="856"/>
      <c r="B113" s="858"/>
      <c r="C113" s="918"/>
      <c r="D113" s="918"/>
      <c r="E113" s="918"/>
      <c r="F113" s="857"/>
      <c r="G113" s="783"/>
      <c r="H113" s="783"/>
      <c r="I113" s="783"/>
      <c r="J113" s="783"/>
      <c r="K113" s="783"/>
      <c r="L113" s="783"/>
      <c r="M113" s="783"/>
      <c r="N113" s="783"/>
      <c r="O113" s="783"/>
    </row>
    <row r="114" spans="1:15" x14ac:dyDescent="0.25">
      <c r="A114" s="922"/>
      <c r="B114" s="896">
        <v>2012</v>
      </c>
      <c r="C114" s="896">
        <f>B114+1</f>
        <v>2013</v>
      </c>
      <c r="D114" s="1009">
        <f t="shared" ref="D114:F114" si="2">C114+1</f>
        <v>2014</v>
      </c>
      <c r="E114" s="1009">
        <f t="shared" si="2"/>
        <v>2015</v>
      </c>
      <c r="F114" s="1009">
        <f t="shared" si="2"/>
        <v>2016</v>
      </c>
      <c r="G114" s="1009">
        <f>F114+1</f>
        <v>2017</v>
      </c>
      <c r="H114" s="870" t="s">
        <v>775</v>
      </c>
      <c r="I114" s="783"/>
      <c r="J114" s="783"/>
      <c r="K114" s="783"/>
      <c r="L114" s="783"/>
      <c r="M114" s="783"/>
      <c r="N114" s="783"/>
      <c r="O114" s="783"/>
    </row>
    <row r="115" spans="1:15" x14ac:dyDescent="0.25">
      <c r="A115" s="923"/>
      <c r="B115" s="871" t="s">
        <v>504</v>
      </c>
      <c r="C115" s="872"/>
      <c r="D115" s="872"/>
      <c r="E115" s="872"/>
      <c r="F115" s="872"/>
      <c r="G115" s="872"/>
      <c r="H115" s="873"/>
      <c r="I115" s="783"/>
      <c r="J115" s="783"/>
      <c r="K115" s="783"/>
      <c r="L115" s="783"/>
      <c r="M115" s="783"/>
      <c r="N115" s="783"/>
      <c r="O115" s="783"/>
    </row>
    <row r="116" spans="1:15" x14ac:dyDescent="0.25">
      <c r="A116" s="928"/>
      <c r="B116" s="929"/>
      <c r="C116" s="929"/>
      <c r="D116" s="929"/>
      <c r="E116" s="929"/>
      <c r="F116" s="929"/>
      <c r="G116" s="929"/>
      <c r="H116" s="930"/>
      <c r="I116" s="783"/>
      <c r="J116" s="783"/>
      <c r="K116" s="783"/>
      <c r="L116" s="783"/>
      <c r="M116" s="783"/>
      <c r="N116" s="783"/>
      <c r="O116" s="783"/>
    </row>
    <row r="117" spans="1:15" ht="45.75" thickBot="1" x14ac:dyDescent="0.3">
      <c r="A117" s="1032" t="s">
        <v>776</v>
      </c>
      <c r="B117" s="925"/>
      <c r="C117" s="925"/>
      <c r="D117" s="925"/>
      <c r="E117" s="925"/>
      <c r="F117" s="931">
        <v>7730071.7124323156</v>
      </c>
      <c r="G117" s="926">
        <v>15611676</v>
      </c>
      <c r="H117" s="927">
        <f>SUM(F117:G117)</f>
        <v>23341747.712432317</v>
      </c>
      <c r="I117" s="783"/>
      <c r="J117" s="783"/>
      <c r="K117" s="783"/>
      <c r="L117" s="783"/>
      <c r="M117" s="783"/>
      <c r="N117" s="783"/>
      <c r="O117" s="783"/>
    </row>
    <row r="118" spans="1:15" ht="16.5" thickTop="1" thickBot="1" x14ac:dyDescent="0.3">
      <c r="A118" s="932"/>
      <c r="B118" s="933"/>
      <c r="C118" s="934"/>
      <c r="D118" s="934"/>
      <c r="E118" s="934"/>
      <c r="F118" s="933"/>
      <c r="G118" s="933"/>
      <c r="H118" s="935"/>
      <c r="I118" s="783"/>
      <c r="J118" s="783"/>
      <c r="K118" s="783"/>
      <c r="L118" s="783"/>
      <c r="M118" s="783"/>
      <c r="N118" s="783"/>
      <c r="O118" s="783"/>
    </row>
    <row r="119" spans="1:15" ht="45.75" thickTop="1" x14ac:dyDescent="0.25">
      <c r="A119" s="1031" t="s">
        <v>777</v>
      </c>
      <c r="B119" s="874">
        <v>0</v>
      </c>
      <c r="C119" s="875">
        <v>0</v>
      </c>
      <c r="D119" s="875">
        <v>0</v>
      </c>
      <c r="E119" s="875">
        <v>0</v>
      </c>
      <c r="F119" s="875">
        <f>F117*0.75</f>
        <v>5797553.7843242362</v>
      </c>
      <c r="G119" s="936">
        <f>G117*0.5</f>
        <v>7805838</v>
      </c>
      <c r="H119" s="937">
        <f>SUM(B119:G119)</f>
        <v>13603391.784324236</v>
      </c>
      <c r="I119" s="783"/>
      <c r="J119" s="783"/>
      <c r="K119" s="783"/>
      <c r="L119" s="783"/>
      <c r="M119" s="783"/>
      <c r="N119" s="783"/>
      <c r="O119" s="783"/>
    </row>
    <row r="120" spans="1:15" x14ac:dyDescent="0.25">
      <c r="A120" s="928"/>
      <c r="B120" s="876"/>
      <c r="C120" s="876"/>
      <c r="D120" s="876"/>
      <c r="E120" s="876"/>
      <c r="F120" s="877"/>
      <c r="G120" s="876"/>
      <c r="H120" s="878"/>
      <c r="I120" s="783"/>
      <c r="J120" s="783"/>
      <c r="K120" s="783"/>
      <c r="L120" s="783"/>
      <c r="M120" s="783"/>
      <c r="N120" s="783"/>
      <c r="O120" s="783"/>
    </row>
    <row r="121" spans="1:15" ht="30" x14ac:dyDescent="0.25">
      <c r="A121" s="924" t="s">
        <v>747</v>
      </c>
      <c r="B121" s="879" t="s">
        <v>123</v>
      </c>
      <c r="C121" s="880" t="s">
        <v>748</v>
      </c>
      <c r="D121" s="881"/>
      <c r="E121" s="880"/>
      <c r="F121" s="880"/>
      <c r="G121" s="882"/>
      <c r="H121" s="883"/>
      <c r="I121" s="783"/>
      <c r="J121" s="783"/>
      <c r="K121" s="783"/>
      <c r="L121" s="783"/>
      <c r="M121" s="783"/>
      <c r="N121" s="783"/>
      <c r="O121" s="783"/>
    </row>
    <row r="122" spans="1:15" ht="60.75" thickBot="1" x14ac:dyDescent="0.3">
      <c r="A122" s="938" t="s">
        <v>749</v>
      </c>
      <c r="B122" s="884">
        <v>0</v>
      </c>
      <c r="C122" s="884">
        <v>0</v>
      </c>
      <c r="D122" s="884">
        <v>0</v>
      </c>
      <c r="E122" s="884">
        <v>0</v>
      </c>
      <c r="F122" s="884">
        <v>0</v>
      </c>
      <c r="G122" s="885"/>
      <c r="H122" s="886">
        <f>SUM(B122:G122)</f>
        <v>0</v>
      </c>
      <c r="I122" s="802"/>
      <c r="J122" s="859"/>
      <c r="K122" s="783"/>
      <c r="L122" s="783"/>
      <c r="M122" s="783"/>
      <c r="N122" s="783"/>
      <c r="O122" s="859"/>
    </row>
    <row r="123" spans="1:15" x14ac:dyDescent="0.25">
      <c r="A123" s="939"/>
      <c r="B123" s="880"/>
      <c r="C123" s="880"/>
      <c r="D123" s="880"/>
      <c r="E123" s="880"/>
      <c r="F123" s="880"/>
      <c r="G123" s="880"/>
      <c r="H123" s="880"/>
      <c r="I123" s="783"/>
      <c r="J123" s="783"/>
      <c r="K123" s="783"/>
      <c r="L123" s="783"/>
      <c r="M123" s="783"/>
      <c r="N123" s="783"/>
      <c r="O123" s="783"/>
    </row>
    <row r="124" spans="1:15" x14ac:dyDescent="0.25">
      <c r="A124" s="1154" t="s">
        <v>750</v>
      </c>
      <c r="B124" s="1154"/>
      <c r="C124" s="1154"/>
      <c r="D124" s="1154"/>
      <c r="E124" s="1154"/>
      <c r="F124" s="1154"/>
      <c r="G124" s="1154"/>
      <c r="H124" s="1154"/>
      <c r="I124" s="783"/>
      <c r="J124" s="783"/>
      <c r="K124" s="783"/>
      <c r="L124" s="783"/>
      <c r="M124" s="783"/>
      <c r="N124" s="783"/>
      <c r="O124" s="783"/>
    </row>
    <row r="125" spans="1:15" x14ac:dyDescent="0.25">
      <c r="A125" s="898"/>
      <c r="B125" s="898"/>
      <c r="C125" s="898"/>
      <c r="D125" s="898"/>
      <c r="E125" s="898"/>
      <c r="F125" s="898"/>
      <c r="G125" s="783"/>
      <c r="H125" s="783"/>
      <c r="I125" s="783"/>
      <c r="J125" s="783"/>
      <c r="K125" s="783"/>
      <c r="L125" s="783"/>
      <c r="M125" s="783"/>
      <c r="N125" s="783"/>
      <c r="O125" s="783"/>
    </row>
    <row r="126" spans="1:15" x14ac:dyDescent="0.25">
      <c r="A126" s="887"/>
      <c r="B126" s="898"/>
      <c r="C126" s="898"/>
      <c r="D126" s="898"/>
      <c r="E126" s="898"/>
      <c r="F126" s="898"/>
    </row>
    <row r="127" spans="1:15" x14ac:dyDescent="0.25">
      <c r="A127" s="898"/>
      <c r="B127" s="898"/>
      <c r="C127" s="898"/>
      <c r="D127" s="898"/>
      <c r="E127" s="898"/>
      <c r="F127" s="898"/>
    </row>
    <row r="128" spans="1:15" x14ac:dyDescent="0.25">
      <c r="A128" s="898"/>
      <c r="B128" s="898"/>
      <c r="C128" s="898"/>
      <c r="D128" s="898"/>
      <c r="E128" s="898"/>
      <c r="F128" s="898"/>
    </row>
    <row r="129" spans="1:6" x14ac:dyDescent="0.25">
      <c r="A129" s="898"/>
      <c r="B129" s="898"/>
      <c r="C129" s="898"/>
      <c r="D129" s="898"/>
      <c r="E129" s="898"/>
      <c r="F129" s="898"/>
    </row>
    <row r="130" spans="1:6" x14ac:dyDescent="0.25">
      <c r="A130" s="898"/>
      <c r="B130" s="898"/>
      <c r="C130" s="898"/>
      <c r="D130" s="898"/>
      <c r="E130" s="898"/>
      <c r="F130" s="898"/>
    </row>
    <row r="131" spans="1:6" x14ac:dyDescent="0.25">
      <c r="A131" s="898"/>
      <c r="B131" s="898"/>
      <c r="C131" s="898"/>
      <c r="D131" s="898"/>
      <c r="E131" s="898"/>
      <c r="F131" s="898"/>
    </row>
    <row r="132" spans="1:6" x14ac:dyDescent="0.25">
      <c r="A132" s="898"/>
      <c r="B132" s="898"/>
      <c r="C132" s="898"/>
      <c r="D132" s="898"/>
      <c r="E132" s="898"/>
      <c r="F132" s="898"/>
    </row>
    <row r="133" spans="1:6" x14ac:dyDescent="0.25">
      <c r="A133" s="898"/>
      <c r="B133" s="898"/>
      <c r="C133" s="898"/>
      <c r="D133" s="898"/>
      <c r="E133" s="898"/>
      <c r="F133" s="898"/>
    </row>
    <row r="134" spans="1:6" x14ac:dyDescent="0.25">
      <c r="A134" s="898"/>
      <c r="B134" s="898"/>
      <c r="C134" s="898"/>
      <c r="D134" s="898"/>
      <c r="E134" s="898"/>
      <c r="F134" s="898"/>
    </row>
    <row r="135" spans="1:6" x14ac:dyDescent="0.25">
      <c r="A135" s="898"/>
      <c r="B135" s="898"/>
      <c r="C135" s="898"/>
      <c r="D135" s="898"/>
      <c r="E135" s="898"/>
      <c r="F135" s="898"/>
    </row>
    <row r="136" spans="1:6" x14ac:dyDescent="0.25">
      <c r="A136" s="898"/>
      <c r="B136" s="898"/>
      <c r="C136" s="898"/>
      <c r="D136" s="898"/>
      <c r="E136" s="898"/>
      <c r="F136" s="898"/>
    </row>
    <row r="137" spans="1:6" x14ac:dyDescent="0.25">
      <c r="A137" s="898"/>
      <c r="B137" s="898"/>
      <c r="C137" s="898"/>
      <c r="D137" s="898"/>
      <c r="E137" s="898"/>
      <c r="F137" s="898"/>
    </row>
    <row r="138" spans="1:6" x14ac:dyDescent="0.25">
      <c r="A138" s="898"/>
      <c r="B138" s="898"/>
      <c r="C138" s="898"/>
      <c r="D138" s="898"/>
      <c r="E138" s="898"/>
      <c r="F138" s="898"/>
    </row>
  </sheetData>
  <customSheetViews>
    <customSheetView guid="{FEE3C04B-CD27-4551-A1CF-8272225D231B}" topLeftCell="B106">
      <selection activeCell="D122" sqref="D122"/>
      <pageMargins left="0.7" right="0.7" top="0.75" bottom="0.75" header="0.3" footer="0.3"/>
    </customSheetView>
    <customSheetView guid="{957A2981-C0FE-4A89-90AC-F40944F7258F}">
      <selection activeCell="C65" sqref="C65"/>
      <pageMargins left="0.7" right="0.7" top="0.75" bottom="0.75" header="0.3" footer="0.3"/>
    </customSheetView>
    <customSheetView guid="{AE01795C-0F1A-4D22-B411-4CB1D681CFC8}" topLeftCell="B106">
      <selection activeCell="D122" sqref="D122"/>
      <pageMargins left="0.7" right="0.7" top="0.75" bottom="0.75" header="0.3" footer="0.3"/>
    </customSheetView>
  </customSheetViews>
  <mergeCells count="41">
    <mergeCell ref="A110:H110"/>
    <mergeCell ref="A112:H112"/>
    <mergeCell ref="A124:H124"/>
    <mergeCell ref="A95:F95"/>
    <mergeCell ref="A100:H100"/>
    <mergeCell ref="A102:H102"/>
    <mergeCell ref="A104:H104"/>
    <mergeCell ref="A106:H106"/>
    <mergeCell ref="A108:H108"/>
    <mergeCell ref="A93:H93"/>
    <mergeCell ref="A53:H53"/>
    <mergeCell ref="A55:H55"/>
    <mergeCell ref="A63:H63"/>
    <mergeCell ref="A72:H72"/>
    <mergeCell ref="A74:H74"/>
    <mergeCell ref="A76:H76"/>
    <mergeCell ref="A78:F78"/>
    <mergeCell ref="A80:E80"/>
    <mergeCell ref="A83:B83"/>
    <mergeCell ref="A89:B89"/>
    <mergeCell ref="A91:H91"/>
    <mergeCell ref="A52:H52"/>
    <mergeCell ref="A20:H20"/>
    <mergeCell ref="A22:H22"/>
    <mergeCell ref="A24:H24"/>
    <mergeCell ref="A26:H26"/>
    <mergeCell ref="A28:H28"/>
    <mergeCell ref="A31:H31"/>
    <mergeCell ref="A33:F33"/>
    <mergeCell ref="A34:F34"/>
    <mergeCell ref="A41:F41"/>
    <mergeCell ref="A48:F48"/>
    <mergeCell ref="A50:H50"/>
    <mergeCell ref="A30:H30"/>
    <mergeCell ref="G33:H34"/>
    <mergeCell ref="A18:H18"/>
    <mergeCell ref="A9:H9"/>
    <mergeCell ref="A10:H10"/>
    <mergeCell ref="A12:H12"/>
    <mergeCell ref="A14:H14"/>
    <mergeCell ref="A16:H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B88" workbookViewId="0">
      <selection activeCell="D26" sqref="D26"/>
    </sheetView>
  </sheetViews>
  <sheetFormatPr defaultRowHeight="15" x14ac:dyDescent="0.25"/>
  <cols>
    <col min="1" max="1" width="55" customWidth="1"/>
    <col min="2" max="5" width="12.28515625" bestFit="1" customWidth="1"/>
    <col min="6" max="6" width="12.7109375" bestFit="1" customWidth="1"/>
    <col min="7" max="7" width="12.28515625" bestFit="1" customWidth="1"/>
  </cols>
  <sheetData>
    <row r="1" spans="1:9" x14ac:dyDescent="0.25">
      <c r="A1" s="941"/>
      <c r="B1" s="941"/>
      <c r="C1" s="941"/>
      <c r="D1" s="941"/>
      <c r="E1" s="941"/>
      <c r="F1" s="948" t="s">
        <v>0</v>
      </c>
      <c r="G1" s="944">
        <v>0</v>
      </c>
      <c r="H1" s="944"/>
      <c r="I1" s="941"/>
    </row>
    <row r="2" spans="1:9" x14ac:dyDescent="0.25">
      <c r="A2" s="941"/>
      <c r="B2" s="941"/>
      <c r="C2" s="941"/>
      <c r="D2" s="941"/>
      <c r="E2" s="941"/>
      <c r="F2" s="948" t="s">
        <v>1</v>
      </c>
      <c r="G2" s="945"/>
      <c r="H2" s="941"/>
      <c r="I2" s="941"/>
    </row>
    <row r="3" spans="1:9" x14ac:dyDescent="0.25">
      <c r="A3" s="941"/>
      <c r="B3" s="941"/>
      <c r="C3" s="941"/>
      <c r="D3" s="941"/>
      <c r="E3" s="941"/>
      <c r="F3" s="948" t="s">
        <v>2</v>
      </c>
      <c r="G3" s="945"/>
      <c r="H3" s="941"/>
      <c r="I3" s="941"/>
    </row>
    <row r="4" spans="1:9" x14ac:dyDescent="0.25">
      <c r="A4" s="941"/>
      <c r="B4" s="941"/>
      <c r="C4" s="941"/>
      <c r="D4" s="941"/>
      <c r="E4" s="941"/>
      <c r="F4" s="948" t="s">
        <v>3</v>
      </c>
      <c r="G4" s="945"/>
      <c r="H4" s="941"/>
      <c r="I4" s="941"/>
    </row>
    <row r="5" spans="1:9" x14ac:dyDescent="0.25">
      <c r="A5" s="941"/>
      <c r="B5" s="941"/>
      <c r="C5" s="941"/>
      <c r="D5" s="941"/>
      <c r="E5" s="941"/>
      <c r="F5" s="948" t="s">
        <v>4</v>
      </c>
      <c r="G5" s="946"/>
      <c r="H5" s="941"/>
      <c r="I5" s="941"/>
    </row>
    <row r="6" spans="1:9" x14ac:dyDescent="0.25">
      <c r="A6" s="941"/>
      <c r="B6" s="941"/>
      <c r="C6" s="941"/>
      <c r="D6" s="941"/>
      <c r="E6" s="941"/>
      <c r="F6" s="948"/>
      <c r="G6" s="962"/>
      <c r="H6" s="941"/>
      <c r="I6" s="941"/>
    </row>
    <row r="7" spans="1:9" x14ac:dyDescent="0.25">
      <c r="A7" s="941"/>
      <c r="B7" s="941"/>
      <c r="C7" s="941"/>
      <c r="D7" s="941"/>
      <c r="E7" s="941"/>
      <c r="F7" s="948" t="s">
        <v>5</v>
      </c>
      <c r="G7" s="946"/>
      <c r="H7" s="941"/>
      <c r="I7" s="941"/>
    </row>
    <row r="9" spans="1:9" ht="18" x14ac:dyDescent="0.25">
      <c r="A9" s="1120" t="s">
        <v>751</v>
      </c>
      <c r="B9" s="1120"/>
      <c r="C9" s="1120"/>
      <c r="D9" s="1120"/>
      <c r="E9" s="1120"/>
      <c r="F9" s="1120"/>
      <c r="G9" s="1120"/>
      <c r="H9" s="963"/>
      <c r="I9" s="963"/>
    </row>
    <row r="10" spans="1:9" ht="18" x14ac:dyDescent="0.25">
      <c r="A10" s="1120" t="s">
        <v>752</v>
      </c>
      <c r="B10" s="1120"/>
      <c r="C10" s="1120"/>
      <c r="D10" s="1120"/>
      <c r="E10" s="1120"/>
      <c r="F10" s="1120"/>
      <c r="G10" s="1120"/>
      <c r="H10" s="963"/>
      <c r="I10" s="963"/>
    </row>
    <row r="12" spans="1:9" x14ac:dyDescent="0.25">
      <c r="A12" s="943" t="s">
        <v>753</v>
      </c>
      <c r="B12" s="941"/>
      <c r="C12" s="941"/>
      <c r="D12" s="941"/>
      <c r="E12" s="941"/>
      <c r="F12" s="941"/>
      <c r="G12" s="941"/>
      <c r="H12" s="941"/>
      <c r="I12" s="941"/>
    </row>
    <row r="14" spans="1:9" ht="25.5" x14ac:dyDescent="0.25">
      <c r="A14" s="950"/>
      <c r="B14" s="947" t="s">
        <v>754</v>
      </c>
      <c r="C14" s="947">
        <v>2013</v>
      </c>
      <c r="D14" s="947">
        <v>2014</v>
      </c>
      <c r="E14" s="947">
        <v>2015</v>
      </c>
      <c r="F14" s="947" t="s">
        <v>755</v>
      </c>
      <c r="G14" s="947" t="s">
        <v>756</v>
      </c>
      <c r="H14" s="951"/>
      <c r="I14" s="951"/>
    </row>
    <row r="15" spans="1:9" x14ac:dyDescent="0.25">
      <c r="A15" s="952" t="s">
        <v>454</v>
      </c>
      <c r="B15" s="953"/>
      <c r="C15" s="953"/>
      <c r="D15" s="953"/>
      <c r="E15" s="953"/>
      <c r="F15" s="953"/>
      <c r="G15" s="953"/>
      <c r="H15" s="941"/>
      <c r="I15" s="941"/>
    </row>
    <row r="16" spans="1:9" x14ac:dyDescent="0.25">
      <c r="A16" s="954" t="s">
        <v>757</v>
      </c>
      <c r="B16" s="955">
        <v>35364</v>
      </c>
      <c r="C16" s="955">
        <v>35225.5</v>
      </c>
      <c r="D16" s="955">
        <v>35479</v>
      </c>
      <c r="E16" s="955">
        <v>35743.5</v>
      </c>
      <c r="F16" s="955">
        <v>36086.445153657936</v>
      </c>
      <c r="G16" s="955">
        <v>36432.680734342255</v>
      </c>
      <c r="H16" s="941"/>
      <c r="I16" s="941"/>
    </row>
    <row r="17" spans="1:7" x14ac:dyDescent="0.25">
      <c r="A17" s="956" t="s">
        <v>504</v>
      </c>
      <c r="B17" s="955">
        <v>282405197</v>
      </c>
      <c r="C17" s="955">
        <v>282501947</v>
      </c>
      <c r="D17" s="955">
        <v>282925750</v>
      </c>
      <c r="E17" s="955">
        <v>287594336</v>
      </c>
      <c r="F17" s="955">
        <v>285549667.87545115</v>
      </c>
      <c r="G17" s="955">
        <v>301593274.34950149</v>
      </c>
    </row>
    <row r="18" spans="1:7" x14ac:dyDescent="0.25">
      <c r="A18" s="956" t="s">
        <v>613</v>
      </c>
      <c r="B18" s="955"/>
      <c r="C18" s="955"/>
      <c r="D18" s="955"/>
      <c r="E18" s="955"/>
      <c r="F18" s="955"/>
      <c r="G18" s="955"/>
    </row>
    <row r="19" spans="1:7" x14ac:dyDescent="0.25">
      <c r="A19" s="957" t="s">
        <v>758</v>
      </c>
      <c r="B19" s="958"/>
      <c r="C19" s="958"/>
      <c r="D19" s="958"/>
      <c r="E19" s="958"/>
      <c r="F19" s="958"/>
      <c r="G19" s="958"/>
    </row>
    <row r="20" spans="1:7" x14ac:dyDescent="0.25">
      <c r="A20" s="956" t="s">
        <v>757</v>
      </c>
      <c r="B20" s="959"/>
      <c r="C20" s="960">
        <v>-3.9164121705689402E-3</v>
      </c>
      <c r="D20" s="960">
        <v>3.251894582060853E-3</v>
      </c>
      <c r="E20" s="960">
        <v>1.0731252120800814E-2</v>
      </c>
      <c r="F20" s="960">
        <v>2.0428830269707508E-2</v>
      </c>
      <c r="G20" s="960">
        <v>3.0219452956177333E-2</v>
      </c>
    </row>
    <row r="21" spans="1:7" x14ac:dyDescent="0.25">
      <c r="A21" s="956" t="s">
        <v>504</v>
      </c>
      <c r="B21" s="959"/>
      <c r="C21" s="960">
        <v>3.4259284541424356E-4</v>
      </c>
      <c r="D21" s="960">
        <v>1.8432840667588705E-3</v>
      </c>
      <c r="E21" s="960">
        <v>1.8374799951007985E-2</v>
      </c>
      <c r="F21" s="960">
        <v>1.1134606972020941E-2</v>
      </c>
      <c r="G21" s="960">
        <v>6.7945199144127263E-2</v>
      </c>
    </row>
    <row r="22" spans="1:7" x14ac:dyDescent="0.25">
      <c r="A22" s="956" t="s">
        <v>613</v>
      </c>
      <c r="B22" s="959"/>
      <c r="C22" s="960">
        <v>0</v>
      </c>
      <c r="D22" s="960">
        <v>0</v>
      </c>
      <c r="E22" s="960">
        <v>0</v>
      </c>
      <c r="F22" s="960">
        <v>0</v>
      </c>
      <c r="G22" s="960">
        <v>0</v>
      </c>
    </row>
    <row r="23" spans="1:7" x14ac:dyDescent="0.25">
      <c r="A23" s="942"/>
      <c r="B23" s="941"/>
      <c r="C23" s="941"/>
      <c r="D23" s="941"/>
      <c r="E23" s="941"/>
      <c r="F23" s="941"/>
      <c r="G23" s="941"/>
    </row>
    <row r="24" spans="1:7" x14ac:dyDescent="0.25">
      <c r="A24" s="952" t="s">
        <v>759</v>
      </c>
      <c r="B24" s="953"/>
      <c r="C24" s="953"/>
      <c r="D24" s="953"/>
      <c r="E24" s="953"/>
      <c r="F24" s="953"/>
      <c r="G24" s="953"/>
    </row>
    <row r="25" spans="1:7" x14ac:dyDescent="0.25">
      <c r="A25" s="954" t="s">
        <v>757</v>
      </c>
      <c r="B25" s="955">
        <v>2764</v>
      </c>
      <c r="C25" s="955">
        <v>2748.5</v>
      </c>
      <c r="D25" s="955">
        <v>2771.5</v>
      </c>
      <c r="E25" s="955">
        <v>2784</v>
      </c>
      <c r="F25" s="955">
        <v>2811.7813470847591</v>
      </c>
      <c r="G25" s="955">
        <v>2839.8399223469046</v>
      </c>
    </row>
    <row r="26" spans="1:7" x14ac:dyDescent="0.25">
      <c r="A26" s="956" t="s">
        <v>504</v>
      </c>
      <c r="B26" s="955">
        <v>98068763</v>
      </c>
      <c r="C26" s="955">
        <v>99838335</v>
      </c>
      <c r="D26" s="955">
        <v>99356580</v>
      </c>
      <c r="E26" s="955">
        <v>100078635</v>
      </c>
      <c r="F26" s="955">
        <v>98738003.437874019</v>
      </c>
      <c r="G26" s="955">
        <v>103442406.59496056</v>
      </c>
    </row>
    <row r="27" spans="1:7" x14ac:dyDescent="0.25">
      <c r="A27" s="956" t="s">
        <v>613</v>
      </c>
      <c r="B27" s="955"/>
      <c r="C27" s="955"/>
      <c r="D27" s="955"/>
      <c r="E27" s="955"/>
      <c r="F27" s="955"/>
      <c r="G27" s="955"/>
    </row>
    <row r="28" spans="1:7" x14ac:dyDescent="0.25">
      <c r="A28" s="957" t="s">
        <v>758</v>
      </c>
      <c r="B28" s="958"/>
      <c r="C28" s="958"/>
      <c r="D28" s="958"/>
      <c r="E28" s="958"/>
      <c r="F28" s="958"/>
      <c r="G28" s="958"/>
    </row>
    <row r="29" spans="1:7" x14ac:dyDescent="0.25">
      <c r="A29" s="956" t="s">
        <v>757</v>
      </c>
      <c r="B29" s="959"/>
      <c r="C29" s="960">
        <v>-5.6078147612156296E-3</v>
      </c>
      <c r="D29" s="960">
        <v>2.7134587554269174E-3</v>
      </c>
      <c r="E29" s="960">
        <v>7.2358900144717797E-3</v>
      </c>
      <c r="F29" s="960">
        <v>1.7287028612430932E-2</v>
      </c>
      <c r="G29" s="960">
        <v>2.7438466840414105E-2</v>
      </c>
    </row>
    <row r="30" spans="1:7" x14ac:dyDescent="0.25">
      <c r="A30" s="956" t="s">
        <v>504</v>
      </c>
      <c r="B30" s="959"/>
      <c r="C30" s="960">
        <v>1.8044196193236373E-2</v>
      </c>
      <c r="D30" s="960">
        <v>1.3131775711293514E-2</v>
      </c>
      <c r="E30" s="960">
        <v>2.0494517708967125E-2</v>
      </c>
      <c r="F30" s="960">
        <v>6.8241957724501853E-3</v>
      </c>
      <c r="G30" s="960">
        <v>5.4794650514359555E-2</v>
      </c>
    </row>
    <row r="31" spans="1:7" x14ac:dyDescent="0.25">
      <c r="A31" s="956" t="s">
        <v>613</v>
      </c>
      <c r="B31" s="959"/>
      <c r="C31" s="960">
        <v>0</v>
      </c>
      <c r="D31" s="960">
        <v>0</v>
      </c>
      <c r="E31" s="960">
        <v>0</v>
      </c>
      <c r="F31" s="960">
        <v>0</v>
      </c>
      <c r="G31" s="960">
        <v>0</v>
      </c>
    </row>
    <row r="32" spans="1:7" x14ac:dyDescent="0.25">
      <c r="A32" s="942"/>
      <c r="B32" s="941"/>
      <c r="C32" s="941"/>
      <c r="D32" s="941"/>
      <c r="E32" s="941"/>
      <c r="F32" s="941"/>
      <c r="G32" s="941"/>
    </row>
    <row r="33" spans="1:7" x14ac:dyDescent="0.25">
      <c r="A33" s="952" t="s">
        <v>760</v>
      </c>
      <c r="B33" s="953"/>
      <c r="C33" s="953"/>
      <c r="D33" s="953"/>
      <c r="E33" s="953"/>
      <c r="F33" s="953"/>
      <c r="G33" s="953"/>
    </row>
    <row r="34" spans="1:7" x14ac:dyDescent="0.25">
      <c r="A34" s="954" t="s">
        <v>757</v>
      </c>
      <c r="B34" s="955">
        <v>420</v>
      </c>
      <c r="C34" s="955">
        <v>423.5</v>
      </c>
      <c r="D34" s="955">
        <v>432</v>
      </c>
      <c r="E34" s="955">
        <v>437.5</v>
      </c>
      <c r="F34" s="955">
        <v>442.0624060165668</v>
      </c>
      <c r="G34" s="955">
        <v>446.67239043007072</v>
      </c>
    </row>
    <row r="35" spans="1:7" x14ac:dyDescent="0.25">
      <c r="A35" s="956" t="s">
        <v>504</v>
      </c>
      <c r="B35" s="955">
        <v>533404014</v>
      </c>
      <c r="C35" s="955">
        <v>534621114</v>
      </c>
      <c r="D35" s="955">
        <v>497985709</v>
      </c>
      <c r="E35" s="955">
        <v>507886846</v>
      </c>
      <c r="F35" s="955">
        <v>493473811.93632585</v>
      </c>
      <c r="G35" s="955">
        <v>489903197.51244253</v>
      </c>
    </row>
    <row r="36" spans="1:7" x14ac:dyDescent="0.25">
      <c r="A36" s="956" t="s">
        <v>613</v>
      </c>
      <c r="B36" s="955">
        <v>1357900</v>
      </c>
      <c r="C36" s="955">
        <v>1395148.24</v>
      </c>
      <c r="D36" s="955">
        <v>1368652.3</v>
      </c>
      <c r="E36" s="955">
        <v>1388241.3</v>
      </c>
      <c r="F36" s="955">
        <v>1270651.4974982918</v>
      </c>
      <c r="G36" s="955">
        <v>1330423.2132025345</v>
      </c>
    </row>
    <row r="37" spans="1:7" x14ac:dyDescent="0.25">
      <c r="A37" s="957" t="s">
        <v>758</v>
      </c>
      <c r="B37" s="958"/>
      <c r="C37" s="958"/>
      <c r="D37" s="958"/>
      <c r="E37" s="958"/>
      <c r="F37" s="958"/>
      <c r="G37" s="958"/>
    </row>
    <row r="38" spans="1:7" x14ac:dyDescent="0.25">
      <c r="A38" s="956" t="s">
        <v>757</v>
      </c>
      <c r="B38" s="959"/>
      <c r="C38" s="960">
        <v>8.3333333333333332E-3</v>
      </c>
      <c r="D38" s="960">
        <v>2.8571428571428571E-2</v>
      </c>
      <c r="E38" s="960">
        <v>4.1666666666666664E-2</v>
      </c>
      <c r="F38" s="960">
        <v>5.2529538134682849E-2</v>
      </c>
      <c r="G38" s="960">
        <v>6.3505691500168382E-2</v>
      </c>
    </row>
    <row r="39" spans="1:7" x14ac:dyDescent="0.25">
      <c r="A39" s="956" t="s">
        <v>504</v>
      </c>
      <c r="B39" s="959"/>
      <c r="C39" s="960">
        <v>2.2817601068896342E-3</v>
      </c>
      <c r="D39" s="960">
        <v>-6.6400522062812967E-2</v>
      </c>
      <c r="E39" s="960">
        <v>-4.7838350162846731E-2</v>
      </c>
      <c r="F39" s="960">
        <v>-7.4859208059266977E-2</v>
      </c>
      <c r="G39" s="960">
        <v>-8.155322297135445E-2</v>
      </c>
    </row>
    <row r="40" spans="1:7" x14ac:dyDescent="0.25">
      <c r="A40" s="956" t="s">
        <v>613</v>
      </c>
      <c r="B40" s="959"/>
      <c r="C40" s="960">
        <v>2.7430768097798063E-2</v>
      </c>
      <c r="D40" s="960">
        <v>7.9183297739156399E-3</v>
      </c>
      <c r="E40" s="960">
        <v>2.234428161131162E-2</v>
      </c>
      <c r="F40" s="960">
        <v>-6.4252524119381565E-2</v>
      </c>
      <c r="G40" s="960">
        <v>-2.0234764561061581E-2</v>
      </c>
    </row>
    <row r="41" spans="1:7" x14ac:dyDescent="0.25">
      <c r="A41" s="942"/>
      <c r="B41" s="941"/>
      <c r="C41" s="941"/>
      <c r="D41" s="941"/>
      <c r="E41" s="941"/>
      <c r="F41" s="941"/>
      <c r="G41" s="941"/>
    </row>
    <row r="42" spans="1:7" x14ac:dyDescent="0.25">
      <c r="A42" s="952" t="s">
        <v>761</v>
      </c>
      <c r="B42" s="953"/>
      <c r="C42" s="953"/>
      <c r="D42" s="953"/>
      <c r="E42" s="953"/>
      <c r="F42" s="953"/>
      <c r="G42" s="953"/>
    </row>
    <row r="43" spans="1:7" x14ac:dyDescent="0.25">
      <c r="A43" s="954" t="s">
        <v>762</v>
      </c>
      <c r="B43" s="955">
        <v>635</v>
      </c>
      <c r="C43" s="955">
        <v>624.5</v>
      </c>
      <c r="D43" s="955">
        <v>621.5</v>
      </c>
      <c r="E43" s="955">
        <v>618.5</v>
      </c>
      <c r="F43" s="955">
        <v>590.98289823986647</v>
      </c>
      <c r="G43" s="955">
        <v>597.17737195173459</v>
      </c>
    </row>
    <row r="44" spans="1:7" x14ac:dyDescent="0.25">
      <c r="A44" s="956" t="s">
        <v>504</v>
      </c>
      <c r="B44" s="955">
        <v>443490</v>
      </c>
      <c r="C44" s="955">
        <v>448778</v>
      </c>
      <c r="D44" s="955">
        <v>445147</v>
      </c>
      <c r="E44" s="955">
        <v>446247</v>
      </c>
      <c r="F44" s="955">
        <v>386312.14851546771</v>
      </c>
      <c r="G44" s="955">
        <v>382297.16184625012</v>
      </c>
    </row>
    <row r="45" spans="1:7" x14ac:dyDescent="0.25">
      <c r="A45" s="956" t="s">
        <v>613</v>
      </c>
      <c r="B45" s="955">
        <v>1356</v>
      </c>
      <c r="C45" s="955">
        <v>1384.9899999999998</v>
      </c>
      <c r="D45" s="955">
        <v>1361</v>
      </c>
      <c r="E45" s="955">
        <v>1359</v>
      </c>
      <c r="F45" s="955">
        <v>1193.6910994683501</v>
      </c>
      <c r="G45" s="955">
        <v>1155.3902232238072</v>
      </c>
    </row>
    <row r="46" spans="1:7" x14ac:dyDescent="0.25">
      <c r="A46" s="957" t="s">
        <v>758</v>
      </c>
      <c r="B46" s="958"/>
      <c r="C46" s="958"/>
      <c r="D46" s="958"/>
      <c r="E46" s="958"/>
      <c r="F46" s="958"/>
      <c r="G46" s="958"/>
    </row>
    <row r="47" spans="1:7" x14ac:dyDescent="0.25">
      <c r="A47" s="956" t="s">
        <v>762</v>
      </c>
      <c r="B47" s="959"/>
      <c r="C47" s="960">
        <v>-1.6535433070866142E-2</v>
      </c>
      <c r="D47" s="960">
        <v>-2.1259842519685039E-2</v>
      </c>
      <c r="E47" s="960">
        <v>-2.5984251968503937E-2</v>
      </c>
      <c r="F47" s="960">
        <v>-6.9318270488399253E-2</v>
      </c>
      <c r="G47" s="960">
        <v>-5.9563193776795927E-2</v>
      </c>
    </row>
    <row r="48" spans="1:7" x14ac:dyDescent="0.25">
      <c r="A48" s="956" t="s">
        <v>504</v>
      </c>
      <c r="B48" s="959"/>
      <c r="C48" s="960">
        <v>1.1923605943764234E-2</v>
      </c>
      <c r="D48" s="960">
        <v>3.7362736476583462E-3</v>
      </c>
      <c r="E48" s="960">
        <v>6.2166001488195904E-3</v>
      </c>
      <c r="F48" s="960">
        <v>-0.12892703665140656</v>
      </c>
      <c r="G48" s="960">
        <v>-0.13798019832183336</v>
      </c>
    </row>
    <row r="49" spans="1:7" x14ac:dyDescent="0.25">
      <c r="A49" s="956" t="s">
        <v>613</v>
      </c>
      <c r="B49" s="959"/>
      <c r="C49" s="960">
        <v>2.1379056047197479E-2</v>
      </c>
      <c r="D49" s="960">
        <v>3.687315634218289E-3</v>
      </c>
      <c r="E49" s="960">
        <v>2.2123893805309734E-3</v>
      </c>
      <c r="F49" s="960">
        <v>-0.11969682930062676</v>
      </c>
      <c r="G49" s="960">
        <v>-0.14794231325677934</v>
      </c>
    </row>
    <row r="50" spans="1:7" x14ac:dyDescent="0.25">
      <c r="A50" s="942"/>
      <c r="B50" s="941"/>
      <c r="C50" s="941"/>
      <c r="D50" s="941"/>
      <c r="E50" s="941"/>
      <c r="F50" s="941"/>
      <c r="G50" s="941"/>
    </row>
    <row r="51" spans="1:7" x14ac:dyDescent="0.25">
      <c r="A51" s="952" t="s">
        <v>763</v>
      </c>
      <c r="B51" s="953"/>
      <c r="C51" s="953"/>
      <c r="D51" s="953"/>
      <c r="E51" s="953"/>
      <c r="F51" s="953"/>
      <c r="G51" s="953"/>
    </row>
    <row r="52" spans="1:7" x14ac:dyDescent="0.25">
      <c r="A52" s="954" t="s">
        <v>762</v>
      </c>
      <c r="B52" s="955">
        <v>10355</v>
      </c>
      <c r="C52" s="955">
        <v>10231.5</v>
      </c>
      <c r="D52" s="955">
        <v>10392</v>
      </c>
      <c r="E52" s="955">
        <v>10631.5</v>
      </c>
      <c r="F52" s="955">
        <v>5767</v>
      </c>
      <c r="G52" s="955">
        <v>5848.7835619252273</v>
      </c>
    </row>
    <row r="53" spans="1:7" x14ac:dyDescent="0.25">
      <c r="A53" s="956" t="s">
        <v>504</v>
      </c>
      <c r="B53" s="955">
        <v>7553004</v>
      </c>
      <c r="C53" s="955">
        <v>7386717</v>
      </c>
      <c r="D53" s="955">
        <v>7378259</v>
      </c>
      <c r="E53" s="955">
        <v>7369714</v>
      </c>
      <c r="F53" s="955">
        <v>7414883.2296070363</v>
      </c>
      <c r="G53" s="955">
        <v>7460329.3029699195</v>
      </c>
    </row>
    <row r="54" spans="1:7" x14ac:dyDescent="0.25">
      <c r="A54" s="956" t="s">
        <v>613</v>
      </c>
      <c r="B54" s="955">
        <v>23455</v>
      </c>
      <c r="C54" s="955">
        <v>22581</v>
      </c>
      <c r="D54" s="955">
        <v>22553</v>
      </c>
      <c r="E54" s="955">
        <v>22527</v>
      </c>
      <c r="F54" s="955">
        <v>22657.408883825065</v>
      </c>
      <c r="G54" s="955">
        <v>22796.276919161843</v>
      </c>
    </row>
    <row r="55" spans="1:7" x14ac:dyDescent="0.25">
      <c r="A55" s="957" t="s">
        <v>758</v>
      </c>
      <c r="B55" s="958"/>
      <c r="C55" s="958"/>
      <c r="D55" s="958"/>
      <c r="E55" s="958"/>
      <c r="F55" s="958"/>
      <c r="G55" s="958"/>
    </row>
    <row r="56" spans="1:7" x14ac:dyDescent="0.25">
      <c r="A56" s="956" t="s">
        <v>762</v>
      </c>
      <c r="B56" s="959"/>
      <c r="C56" s="960">
        <v>-1.1926605504587157E-2</v>
      </c>
      <c r="D56" s="960">
        <v>3.5731530661516175E-3</v>
      </c>
      <c r="E56" s="960">
        <v>2.6702076291646549E-2</v>
      </c>
      <c r="F56" s="960">
        <v>-0.44307098020280056</v>
      </c>
      <c r="G56" s="960">
        <v>-0.43517300222837013</v>
      </c>
    </row>
    <row r="57" spans="1:7" x14ac:dyDescent="0.25">
      <c r="A57" s="956" t="s">
        <v>504</v>
      </c>
      <c r="B57" s="959"/>
      <c r="C57" s="960">
        <v>-2.2016008464976318E-2</v>
      </c>
      <c r="D57" s="960">
        <v>-2.3135827811027243E-2</v>
      </c>
      <c r="E57" s="960">
        <v>-2.4267165752858068E-2</v>
      </c>
      <c r="F57" s="960">
        <v>-1.8286865781212833E-2</v>
      </c>
      <c r="G57" s="960">
        <v>-1.2269912346144723E-2</v>
      </c>
    </row>
    <row r="58" spans="1:7" x14ac:dyDescent="0.25">
      <c r="A58" s="956" t="s">
        <v>613</v>
      </c>
      <c r="B58" s="959"/>
      <c r="C58" s="960">
        <v>-3.7262843743338304E-2</v>
      </c>
      <c r="D58" s="960">
        <v>-3.8456619057770196E-2</v>
      </c>
      <c r="E58" s="960">
        <v>-3.9565124706885522E-2</v>
      </c>
      <c r="F58" s="960">
        <v>-3.4005163767850587E-2</v>
      </c>
      <c r="G58" s="960">
        <v>-2.8084548319682684E-2</v>
      </c>
    </row>
    <row r="59" spans="1:7" x14ac:dyDescent="0.25">
      <c r="A59" s="942"/>
      <c r="B59" s="941"/>
      <c r="C59" s="941"/>
      <c r="D59" s="941"/>
      <c r="E59" s="941"/>
      <c r="F59" s="941"/>
      <c r="G59" s="941"/>
    </row>
    <row r="60" spans="1:7" x14ac:dyDescent="0.25">
      <c r="A60" s="952" t="s">
        <v>764</v>
      </c>
      <c r="B60" s="953"/>
      <c r="C60" s="953"/>
      <c r="D60" s="953"/>
      <c r="E60" s="953"/>
      <c r="F60" s="953"/>
      <c r="G60" s="953"/>
    </row>
    <row r="61" spans="1:7" x14ac:dyDescent="0.25">
      <c r="A61" s="954" t="s">
        <v>762</v>
      </c>
      <c r="B61" s="955">
        <v>437</v>
      </c>
      <c r="C61" s="955">
        <v>437.5</v>
      </c>
      <c r="D61" s="955">
        <v>434</v>
      </c>
      <c r="E61" s="955">
        <v>430.5</v>
      </c>
      <c r="F61" s="955">
        <v>427.80833515306745</v>
      </c>
      <c r="G61" s="955">
        <v>425.13349971298322</v>
      </c>
    </row>
    <row r="62" spans="1:7" x14ac:dyDescent="0.25">
      <c r="A62" s="956" t="s">
        <v>504</v>
      </c>
      <c r="B62" s="955">
        <v>1454727</v>
      </c>
      <c r="C62" s="955">
        <v>1552345</v>
      </c>
      <c r="D62" s="955">
        <v>1528194</v>
      </c>
      <c r="E62" s="955">
        <v>1516114</v>
      </c>
      <c r="F62" s="955">
        <v>1459579.9155015091</v>
      </c>
      <c r="G62" s="955">
        <v>1405153.9196494406</v>
      </c>
    </row>
    <row r="63" spans="1:7" x14ac:dyDescent="0.25">
      <c r="A63" s="956" t="s">
        <v>613</v>
      </c>
      <c r="B63" s="955"/>
      <c r="C63" s="955"/>
      <c r="D63" s="955"/>
      <c r="E63" s="955"/>
      <c r="F63" s="955"/>
      <c r="G63" s="955"/>
    </row>
    <row r="64" spans="1:7" x14ac:dyDescent="0.25">
      <c r="A64" s="957" t="s">
        <v>758</v>
      </c>
      <c r="B64" s="958"/>
      <c r="C64" s="958"/>
      <c r="D64" s="958"/>
      <c r="E64" s="958"/>
      <c r="F64" s="958"/>
      <c r="G64" s="958"/>
    </row>
    <row r="65" spans="1:7" x14ac:dyDescent="0.25">
      <c r="A65" s="956" t="s">
        <v>762</v>
      </c>
      <c r="B65" s="959"/>
      <c r="C65" s="960">
        <v>1.1441647597254005E-3</v>
      </c>
      <c r="D65" s="960">
        <v>-6.8649885583524023E-3</v>
      </c>
      <c r="E65" s="960">
        <v>-1.4874141876430207E-2</v>
      </c>
      <c r="F65" s="960">
        <v>-2.1033558002133992E-2</v>
      </c>
      <c r="G65" s="960">
        <v>-2.7154462899351892E-2</v>
      </c>
    </row>
    <row r="66" spans="1:7" x14ac:dyDescent="0.25">
      <c r="A66" s="956" t="s">
        <v>504</v>
      </c>
      <c r="B66" s="959"/>
      <c r="C66" s="960">
        <v>6.7103999582052168E-2</v>
      </c>
      <c r="D66" s="960">
        <v>5.0502259186775249E-2</v>
      </c>
      <c r="E66" s="960">
        <v>4.2198295625227276E-2</v>
      </c>
      <c r="F66" s="960">
        <v>3.335963037400897E-3</v>
      </c>
      <c r="G66" s="960">
        <v>-3.4077239475557568E-2</v>
      </c>
    </row>
    <row r="67" spans="1:7" x14ac:dyDescent="0.25">
      <c r="A67" s="956" t="s">
        <v>613</v>
      </c>
      <c r="B67" s="959"/>
      <c r="C67" s="960">
        <v>0</v>
      </c>
      <c r="D67" s="960">
        <v>0</v>
      </c>
      <c r="E67" s="960">
        <v>0</v>
      </c>
      <c r="F67" s="960">
        <v>0</v>
      </c>
      <c r="G67" s="960">
        <v>0</v>
      </c>
    </row>
    <row r="68" spans="1:7" x14ac:dyDescent="0.25">
      <c r="A68" s="942"/>
      <c r="B68" s="941"/>
      <c r="C68" s="941"/>
      <c r="D68" s="941"/>
      <c r="E68" s="941"/>
      <c r="F68" s="941"/>
      <c r="G68" s="941"/>
    </row>
    <row r="69" spans="1:7" x14ac:dyDescent="0.25">
      <c r="A69" s="952" t="s">
        <v>765</v>
      </c>
      <c r="B69" s="953"/>
      <c r="C69" s="953"/>
      <c r="D69" s="953"/>
      <c r="E69" s="953"/>
      <c r="F69" s="953"/>
      <c r="G69" s="953"/>
    </row>
    <row r="70" spans="1:7" x14ac:dyDescent="0.25">
      <c r="A70" s="954" t="s">
        <v>762</v>
      </c>
      <c r="B70" s="955">
        <v>3</v>
      </c>
      <c r="C70" s="955">
        <v>3</v>
      </c>
      <c r="D70" s="955">
        <v>3</v>
      </c>
      <c r="E70" s="955">
        <v>3</v>
      </c>
      <c r="F70" s="955">
        <v>2</v>
      </c>
      <c r="G70" s="955">
        <v>2</v>
      </c>
    </row>
    <row r="71" spans="1:7" x14ac:dyDescent="0.25">
      <c r="A71" s="956" t="s">
        <v>766</v>
      </c>
      <c r="B71" s="955"/>
      <c r="C71" s="955">
        <v>0</v>
      </c>
      <c r="D71" s="955">
        <v>0</v>
      </c>
      <c r="E71" s="955">
        <v>52024994.84362936</v>
      </c>
      <c r="F71" s="955">
        <v>48387203.082246475</v>
      </c>
      <c r="G71" s="955">
        <v>51013084.143145315</v>
      </c>
    </row>
    <row r="72" spans="1:7" x14ac:dyDescent="0.25">
      <c r="A72" s="956" t="s">
        <v>613</v>
      </c>
      <c r="B72" s="955">
        <v>158473</v>
      </c>
      <c r="C72" s="955">
        <v>159285.71000000002</v>
      </c>
      <c r="D72" s="955">
        <v>164324.43999999997</v>
      </c>
      <c r="E72" s="955">
        <v>142203.42000000001</v>
      </c>
      <c r="F72" s="955">
        <v>132259.9989334275</v>
      </c>
      <c r="G72" s="955">
        <v>139437.49637471305</v>
      </c>
    </row>
    <row r="73" spans="1:7" x14ac:dyDescent="0.25">
      <c r="A73" s="957" t="s">
        <v>758</v>
      </c>
      <c r="B73" s="958"/>
      <c r="C73" s="958"/>
      <c r="D73" s="958"/>
      <c r="E73" s="958"/>
      <c r="F73" s="958"/>
      <c r="G73" s="958"/>
    </row>
    <row r="74" spans="1:7" x14ac:dyDescent="0.25">
      <c r="A74" s="956" t="s">
        <v>762</v>
      </c>
      <c r="B74" s="959"/>
      <c r="C74" s="960">
        <v>0</v>
      </c>
      <c r="D74" s="960">
        <v>0</v>
      </c>
      <c r="E74" s="960">
        <v>0</v>
      </c>
      <c r="F74" s="960">
        <v>-0.33333333333333331</v>
      </c>
      <c r="G74" s="960">
        <v>-0.33333333333333331</v>
      </c>
    </row>
    <row r="75" spans="1:7" x14ac:dyDescent="0.25">
      <c r="A75" s="956" t="s">
        <v>504</v>
      </c>
      <c r="B75" s="959"/>
      <c r="C75" s="960">
        <v>0</v>
      </c>
      <c r="D75" s="960">
        <v>0</v>
      </c>
      <c r="E75" s="960">
        <v>0</v>
      </c>
      <c r="F75" s="960">
        <v>0</v>
      </c>
      <c r="G75" s="960">
        <v>0</v>
      </c>
    </row>
    <row r="76" spans="1:7" x14ac:dyDescent="0.25">
      <c r="A76" s="956" t="s">
        <v>613</v>
      </c>
      <c r="B76" s="959"/>
      <c r="C76" s="960">
        <v>5.1283814908534633E-3</v>
      </c>
      <c r="D76" s="960">
        <v>3.6923892398073949E-2</v>
      </c>
      <c r="E76" s="960">
        <v>-0.10266468104976866</v>
      </c>
      <c r="F76" s="960">
        <v>-0.16540988727778549</v>
      </c>
      <c r="G76" s="960">
        <v>-0.12011827645899899</v>
      </c>
    </row>
    <row r="77" spans="1:7" x14ac:dyDescent="0.25">
      <c r="A77" s="942"/>
      <c r="B77" s="941"/>
      <c r="C77" s="941"/>
      <c r="D77" s="941"/>
      <c r="E77" s="941"/>
      <c r="F77" s="941"/>
      <c r="G77" s="941"/>
    </row>
    <row r="78" spans="1:7" x14ac:dyDescent="0.25">
      <c r="A78" s="952" t="s">
        <v>767</v>
      </c>
      <c r="B78" s="953"/>
      <c r="C78" s="953"/>
      <c r="D78" s="953"/>
      <c r="E78" s="953"/>
      <c r="F78" s="953"/>
      <c r="G78" s="953"/>
    </row>
    <row r="79" spans="1:7" x14ac:dyDescent="0.25">
      <c r="A79" s="954" t="s">
        <v>757</v>
      </c>
      <c r="B79" s="955">
        <v>0</v>
      </c>
      <c r="C79" s="955">
        <v>2</v>
      </c>
      <c r="D79" s="955">
        <v>2</v>
      </c>
      <c r="E79" s="955">
        <v>2</v>
      </c>
      <c r="F79" s="955">
        <v>2</v>
      </c>
      <c r="G79" s="955">
        <v>2</v>
      </c>
    </row>
    <row r="80" spans="1:7" x14ac:dyDescent="0.25">
      <c r="A80" s="956" t="s">
        <v>768</v>
      </c>
      <c r="B80" s="955">
        <v>0</v>
      </c>
      <c r="C80" s="955">
        <v>0</v>
      </c>
      <c r="D80" s="955">
        <v>0</v>
      </c>
      <c r="E80" s="955">
        <v>6792377.5999999996</v>
      </c>
      <c r="F80" s="955">
        <v>6792377.5999999996</v>
      </c>
      <c r="G80" s="955">
        <v>6792377.5999999996</v>
      </c>
    </row>
    <row r="81" spans="1:7" x14ac:dyDescent="0.25">
      <c r="A81" s="956" t="s">
        <v>613</v>
      </c>
      <c r="B81" s="955">
        <v>0</v>
      </c>
      <c r="C81" s="955">
        <v>13589.76</v>
      </c>
      <c r="D81" s="955">
        <v>12736.7</v>
      </c>
      <c r="E81" s="955">
        <v>12397.7</v>
      </c>
      <c r="F81" s="955">
        <v>12397.7</v>
      </c>
      <c r="G81" s="955">
        <v>12397.7</v>
      </c>
    </row>
    <row r="82" spans="1:7" x14ac:dyDescent="0.25">
      <c r="A82" s="957" t="s">
        <v>758</v>
      </c>
      <c r="B82" s="958"/>
      <c r="C82" s="958"/>
      <c r="D82" s="958"/>
      <c r="E82" s="958"/>
      <c r="F82" s="958"/>
      <c r="G82" s="958"/>
    </row>
    <row r="83" spans="1:7" x14ac:dyDescent="0.25">
      <c r="A83" s="956" t="s">
        <v>757</v>
      </c>
      <c r="B83" s="959"/>
      <c r="C83" s="960">
        <v>0</v>
      </c>
      <c r="D83" s="960">
        <v>0</v>
      </c>
      <c r="E83" s="960">
        <v>0</v>
      </c>
      <c r="F83" s="960">
        <v>0</v>
      </c>
      <c r="G83" s="960">
        <v>0</v>
      </c>
    </row>
    <row r="84" spans="1:7" x14ac:dyDescent="0.25">
      <c r="A84" s="956" t="s">
        <v>504</v>
      </c>
      <c r="B84" s="959"/>
      <c r="C84" s="960">
        <v>0</v>
      </c>
      <c r="D84" s="960">
        <v>0</v>
      </c>
      <c r="E84" s="960">
        <v>0</v>
      </c>
      <c r="F84" s="960">
        <v>0</v>
      </c>
      <c r="G84" s="960">
        <v>0</v>
      </c>
    </row>
    <row r="85" spans="1:7" x14ac:dyDescent="0.25">
      <c r="A85" s="956" t="s">
        <v>613</v>
      </c>
      <c r="B85" s="959"/>
      <c r="C85" s="960">
        <v>0</v>
      </c>
      <c r="D85" s="960">
        <v>0</v>
      </c>
      <c r="E85" s="960">
        <v>0</v>
      </c>
      <c r="F85" s="960">
        <v>0</v>
      </c>
      <c r="G85" s="960">
        <v>0</v>
      </c>
    </row>
    <row r="86" spans="1:7" x14ac:dyDescent="0.25">
      <c r="A86" s="942"/>
      <c r="B86" s="941"/>
      <c r="C86" s="941"/>
      <c r="D86" s="941"/>
      <c r="E86" s="941"/>
      <c r="F86" s="941"/>
      <c r="G86" s="941"/>
    </row>
    <row r="87" spans="1:7" x14ac:dyDescent="0.25">
      <c r="A87" s="952" t="s">
        <v>769</v>
      </c>
      <c r="B87" s="953"/>
      <c r="C87" s="953"/>
      <c r="D87" s="953"/>
      <c r="E87" s="953"/>
      <c r="F87" s="953"/>
      <c r="G87" s="953"/>
    </row>
    <row r="88" spans="1:7" x14ac:dyDescent="0.25">
      <c r="A88" s="954" t="s">
        <v>757</v>
      </c>
      <c r="B88" s="955">
        <v>1</v>
      </c>
      <c r="C88" s="955"/>
      <c r="D88" s="955"/>
      <c r="E88" s="955"/>
      <c r="F88" s="955"/>
      <c r="G88" s="955"/>
    </row>
    <row r="89" spans="1:7" x14ac:dyDescent="0.25">
      <c r="A89" s="956" t="s">
        <v>504</v>
      </c>
      <c r="B89" s="955"/>
      <c r="C89" s="955"/>
      <c r="D89" s="955"/>
      <c r="E89" s="955"/>
      <c r="F89" s="955"/>
      <c r="G89" s="955"/>
    </row>
    <row r="90" spans="1:7" x14ac:dyDescent="0.25">
      <c r="A90" s="956" t="s">
        <v>613</v>
      </c>
      <c r="B90" s="955">
        <v>36000</v>
      </c>
      <c r="C90" s="955"/>
      <c r="D90" s="955"/>
      <c r="E90" s="955"/>
      <c r="F90" s="955"/>
      <c r="G90" s="955"/>
    </row>
    <row r="91" spans="1:7" x14ac:dyDescent="0.25">
      <c r="A91" s="957" t="s">
        <v>758</v>
      </c>
      <c r="B91" s="958"/>
      <c r="C91" s="958"/>
      <c r="D91" s="958"/>
      <c r="E91" s="958"/>
      <c r="F91" s="958"/>
      <c r="G91" s="958"/>
    </row>
    <row r="92" spans="1:7" x14ac:dyDescent="0.25">
      <c r="A92" s="956" t="s">
        <v>757</v>
      </c>
      <c r="B92" s="959"/>
      <c r="C92" s="960">
        <v>-1</v>
      </c>
      <c r="D92" s="960">
        <v>-1</v>
      </c>
      <c r="E92" s="960">
        <v>-1</v>
      </c>
      <c r="F92" s="960">
        <v>-1</v>
      </c>
      <c r="G92" s="960">
        <v>-1</v>
      </c>
    </row>
    <row r="93" spans="1:7" x14ac:dyDescent="0.25">
      <c r="A93" s="956" t="s">
        <v>504</v>
      </c>
      <c r="B93" s="959"/>
      <c r="C93" s="960">
        <v>0</v>
      </c>
      <c r="D93" s="960">
        <v>0</v>
      </c>
      <c r="E93" s="960">
        <v>0</v>
      </c>
      <c r="F93" s="960">
        <v>0</v>
      </c>
      <c r="G93" s="960">
        <v>0</v>
      </c>
    </row>
    <row r="94" spans="1:7" x14ac:dyDescent="0.25">
      <c r="A94" s="956" t="s">
        <v>613</v>
      </c>
      <c r="B94" s="959"/>
      <c r="C94" s="960">
        <v>-1</v>
      </c>
      <c r="D94" s="960">
        <v>-1</v>
      </c>
      <c r="E94" s="960">
        <v>-1</v>
      </c>
      <c r="F94" s="960">
        <v>-1</v>
      </c>
      <c r="G94" s="960">
        <v>-1</v>
      </c>
    </row>
    <row r="95" spans="1:7" x14ac:dyDescent="0.25">
      <c r="A95" s="942"/>
      <c r="B95" s="941"/>
      <c r="C95" s="941"/>
      <c r="D95" s="941"/>
      <c r="E95" s="941"/>
      <c r="F95" s="941"/>
      <c r="G95" s="941"/>
    </row>
    <row r="96" spans="1:7" x14ac:dyDescent="0.25">
      <c r="A96" s="952" t="s">
        <v>123</v>
      </c>
      <c r="B96" s="953"/>
      <c r="C96" s="953"/>
      <c r="D96" s="953"/>
      <c r="E96" s="953"/>
      <c r="F96" s="953"/>
      <c r="G96" s="953"/>
    </row>
    <row r="97" spans="1:7" x14ac:dyDescent="0.25">
      <c r="A97" s="954" t="s">
        <v>757</v>
      </c>
      <c r="B97" s="955"/>
      <c r="C97" s="955"/>
      <c r="D97" s="955"/>
      <c r="E97" s="955"/>
      <c r="F97" s="955"/>
      <c r="G97" s="955"/>
    </row>
    <row r="98" spans="1:7" x14ac:dyDescent="0.25">
      <c r="A98" s="956" t="s">
        <v>504</v>
      </c>
      <c r="B98" s="955"/>
      <c r="C98" s="955"/>
      <c r="D98" s="955"/>
      <c r="E98" s="955"/>
      <c r="F98" s="955"/>
      <c r="G98" s="955"/>
    </row>
    <row r="99" spans="1:7" x14ac:dyDescent="0.25">
      <c r="A99" s="956" t="s">
        <v>613</v>
      </c>
      <c r="B99" s="955"/>
      <c r="C99" s="955"/>
      <c r="D99" s="955"/>
      <c r="E99" s="955"/>
      <c r="F99" s="955"/>
      <c r="G99" s="955"/>
    </row>
    <row r="100" spans="1:7" x14ac:dyDescent="0.25">
      <c r="A100" s="957" t="s">
        <v>758</v>
      </c>
      <c r="B100" s="958"/>
      <c r="C100" s="958"/>
      <c r="D100" s="958"/>
      <c r="E100" s="958"/>
      <c r="F100" s="958"/>
      <c r="G100" s="958"/>
    </row>
    <row r="101" spans="1:7" x14ac:dyDescent="0.25">
      <c r="A101" s="956" t="s">
        <v>757</v>
      </c>
      <c r="B101" s="959"/>
      <c r="C101" s="960">
        <v>0</v>
      </c>
      <c r="D101" s="960">
        <v>0</v>
      </c>
      <c r="E101" s="960">
        <v>0</v>
      </c>
      <c r="F101" s="960">
        <v>0</v>
      </c>
      <c r="G101" s="960">
        <v>0</v>
      </c>
    </row>
    <row r="102" spans="1:7" x14ac:dyDescent="0.25">
      <c r="A102" s="956" t="s">
        <v>504</v>
      </c>
      <c r="B102" s="959"/>
      <c r="C102" s="960">
        <v>0</v>
      </c>
      <c r="D102" s="960">
        <v>0</v>
      </c>
      <c r="E102" s="960">
        <v>0</v>
      </c>
      <c r="F102" s="960">
        <v>0</v>
      </c>
      <c r="G102" s="960">
        <v>0</v>
      </c>
    </row>
    <row r="103" spans="1:7" x14ac:dyDescent="0.25">
      <c r="A103" s="956" t="s">
        <v>613</v>
      </c>
      <c r="B103" s="959"/>
      <c r="C103" s="960">
        <v>0</v>
      </c>
      <c r="D103" s="960">
        <v>0</v>
      </c>
      <c r="E103" s="960">
        <v>0</v>
      </c>
      <c r="F103" s="960">
        <v>0</v>
      </c>
      <c r="G103" s="960">
        <v>0</v>
      </c>
    </row>
    <row r="104" spans="1:7" x14ac:dyDescent="0.25">
      <c r="A104" s="942"/>
      <c r="B104" s="941"/>
      <c r="C104" s="941"/>
      <c r="D104" s="941"/>
      <c r="E104" s="941"/>
      <c r="F104" s="941"/>
      <c r="G104" s="941"/>
    </row>
    <row r="106" spans="1:7" ht="18" x14ac:dyDescent="0.25">
      <c r="A106" s="949" t="s">
        <v>770</v>
      </c>
      <c r="B106" s="941"/>
      <c r="C106" s="941"/>
      <c r="D106" s="941"/>
      <c r="E106" s="941"/>
      <c r="F106" s="941"/>
      <c r="G106" s="941"/>
    </row>
    <row r="107" spans="1:7" x14ac:dyDescent="0.25">
      <c r="A107" s="956" t="s">
        <v>771</v>
      </c>
      <c r="B107" s="961">
        <v>49979</v>
      </c>
      <c r="C107" s="961">
        <v>49696</v>
      </c>
      <c r="D107" s="961">
        <v>50135</v>
      </c>
      <c r="E107" s="961">
        <v>50650.5</v>
      </c>
      <c r="F107" s="961">
        <v>46130.080140152197</v>
      </c>
      <c r="G107" s="961">
        <v>46594.287480709179</v>
      </c>
    </row>
    <row r="108" spans="1:7" x14ac:dyDescent="0.25">
      <c r="A108" s="956" t="s">
        <v>504</v>
      </c>
      <c r="B108" s="961">
        <v>923329195</v>
      </c>
      <c r="C108" s="961">
        <v>926349236</v>
      </c>
      <c r="D108" s="961">
        <v>889619639</v>
      </c>
      <c r="E108" s="961">
        <v>963709264.44362938</v>
      </c>
      <c r="F108" s="961">
        <v>942201839.22552133</v>
      </c>
      <c r="G108" s="961">
        <v>961992120.58451569</v>
      </c>
    </row>
    <row r="109" spans="1:7" x14ac:dyDescent="0.25">
      <c r="A109" s="956" t="s">
        <v>772</v>
      </c>
      <c r="B109" s="961">
        <v>1577184</v>
      </c>
      <c r="C109" s="961">
        <v>1591989.7</v>
      </c>
      <c r="D109" s="961">
        <v>1569627.44</v>
      </c>
      <c r="E109" s="961">
        <v>1566728.42</v>
      </c>
      <c r="F109" s="961">
        <v>1439160.2964150128</v>
      </c>
      <c r="G109" s="961">
        <v>1506210.0767196331</v>
      </c>
    </row>
    <row r="111" spans="1:7" ht="18" x14ac:dyDescent="0.25">
      <c r="A111" s="949" t="s">
        <v>773</v>
      </c>
      <c r="B111" s="941"/>
      <c r="C111" s="941"/>
      <c r="D111" s="941"/>
      <c r="E111" s="941"/>
      <c r="F111" s="941"/>
      <c r="G111" s="941"/>
    </row>
    <row r="112" spans="1:7" x14ac:dyDescent="0.25">
      <c r="A112" s="956" t="s">
        <v>771</v>
      </c>
      <c r="B112" s="959"/>
      <c r="C112" s="960">
        <v>-5.6623781988435146E-3</v>
      </c>
      <c r="D112" s="960">
        <v>3.1213109505992516E-3</v>
      </c>
      <c r="E112" s="960">
        <v>1.343564297004742E-2</v>
      </c>
      <c r="F112" s="960">
        <v>-7.7010741708473621E-2</v>
      </c>
      <c r="G112" s="960">
        <v>-6.7722693917261656E-2</v>
      </c>
    </row>
    <row r="113" spans="1:7" x14ac:dyDescent="0.25">
      <c r="A113" s="956" t="s">
        <v>504</v>
      </c>
      <c r="B113" s="959"/>
      <c r="C113" s="960">
        <v>3.2708171867131311E-3</v>
      </c>
      <c r="D113" s="960">
        <v>-3.6508708034516335E-2</v>
      </c>
      <c r="E113" s="960">
        <v>4.3733123204914348E-2</v>
      </c>
      <c r="F113" s="960">
        <v>2.0439778496900367E-2</v>
      </c>
      <c r="G113" s="960">
        <v>4.1873392278596468E-2</v>
      </c>
    </row>
    <row r="114" spans="1:7" x14ac:dyDescent="0.25">
      <c r="A114" s="956" t="s">
        <v>772</v>
      </c>
      <c r="B114" s="959"/>
      <c r="C114" s="960">
        <v>9.3874272120437145E-3</v>
      </c>
      <c r="D114" s="960">
        <v>-4.7911721143506754E-3</v>
      </c>
      <c r="E114" s="960">
        <v>-6.6292709030779376E-3</v>
      </c>
      <c r="F114" s="960">
        <v>-8.7512746505789565E-2</v>
      </c>
      <c r="G114" s="960">
        <v>-4.5000407866404253E-2</v>
      </c>
    </row>
  </sheetData>
  <customSheetViews>
    <customSheetView guid="{FEE3C04B-CD27-4551-A1CF-8272225D231B}" topLeftCell="B88">
      <selection activeCell="D26" sqref="D26"/>
      <pageMargins left="0.7" right="0.7" top="0.75" bottom="0.75" header="0.3" footer="0.3"/>
    </customSheetView>
    <customSheetView guid="{957A2981-C0FE-4A89-90AC-F40944F7258F}" topLeftCell="B79">
      <selection activeCell="G108" sqref="G108"/>
      <pageMargins left="0.7" right="0.7" top="0.75" bottom="0.75" header="0.3" footer="0.3"/>
    </customSheetView>
    <customSheetView guid="{AE01795C-0F1A-4D22-B411-4CB1D681CFC8}" topLeftCell="B88">
      <selection activeCell="D26" sqref="D26"/>
      <pageMargins left="0.7" right="0.7" top="0.75" bottom="0.75" header="0.3" footer="0.3"/>
    </customSheetView>
  </customSheetViews>
  <mergeCells count="2">
    <mergeCell ref="A9:G9"/>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App.2-AA Capital Projects</vt:lpstr>
      <vt:lpstr>App.2-AB Capital Expenditures</vt:lpstr>
      <vt:lpstr>App.2-BA Fixed Asset Continuity</vt:lpstr>
      <vt:lpstr>App.2-CK MIFRS_DepExp_2016</vt:lpstr>
      <vt:lpstr>App.2-CL MIFRS_DepExp_2017</vt:lpstr>
      <vt:lpstr>App.2-H Other_Oper_Rev</vt:lpstr>
      <vt:lpstr>App.2-I LF_CDM</vt:lpstr>
      <vt:lpstr>App.2-IA_Act_Frcst_Data </vt:lpstr>
      <vt:lpstr>App.2-JA_OM&amp;A_Summary_Analys</vt:lpstr>
      <vt:lpstr>App.2-JB_OM&amp;A_Cost_Drivers</vt:lpstr>
      <vt:lpstr>App.2-JC_OMA Programs</vt:lpstr>
      <vt:lpstr>App.2-L OM&amp;A_per_Cust_FTE</vt:lpstr>
      <vt:lpstr>App.2-OA Capital Structure</vt:lpstr>
      <vt:lpstr>App.2-P_Cost_Allocation</vt:lpstr>
      <vt:lpstr>App.2-PA_Res_Rate_Design</vt:lpstr>
      <vt:lpstr>App.2-R_Loss Factors</vt:lpstr>
      <vt:lpstr>App.2-U_IFRS Transition Costs</vt:lpstr>
      <vt:lpstr>App.2-V_Rev_Reconciliation</vt:lpstr>
    </vt:vector>
  </TitlesOfParts>
  <Company>City of Brantford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Oana Stefan</cp:lastModifiedBy>
  <dcterms:created xsi:type="dcterms:W3CDTF">2016-10-12T12:44:09Z</dcterms:created>
  <dcterms:modified xsi:type="dcterms:W3CDTF">2016-10-31T19:27:59Z</dcterms:modified>
</cp:coreProperties>
</file>