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20730" windowHeight="11760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4" l="1"/>
  <c r="H122" i="4"/>
  <c r="H9" i="4"/>
  <c r="I9" i="4"/>
  <c r="I113" i="4"/>
  <c r="H113" i="4"/>
  <c r="I110" i="4"/>
  <c r="H110" i="4"/>
  <c r="I108" i="4"/>
  <c r="H108" i="4"/>
  <c r="I107" i="4"/>
  <c r="H107" i="4"/>
  <c r="I104" i="4"/>
  <c r="H104" i="4"/>
  <c r="I103" i="4"/>
  <c r="H103" i="4"/>
  <c r="I98" i="4"/>
  <c r="H98" i="4"/>
  <c r="I97" i="4"/>
  <c r="H97" i="4"/>
  <c r="I95" i="4"/>
  <c r="H95" i="4"/>
  <c r="I94" i="4"/>
  <c r="H94" i="4"/>
  <c r="I93" i="4"/>
  <c r="H93" i="4"/>
  <c r="I92" i="4"/>
  <c r="H92" i="4"/>
  <c r="I88" i="4"/>
  <c r="H88" i="4"/>
  <c r="I84" i="4"/>
  <c r="H84" i="4"/>
  <c r="I83" i="4"/>
  <c r="H83" i="4"/>
  <c r="I82" i="4"/>
  <c r="H82" i="4"/>
  <c r="I81" i="4"/>
  <c r="H81" i="4"/>
  <c r="I80" i="4"/>
  <c r="H80" i="4"/>
  <c r="I79" i="4"/>
  <c r="H79" i="4"/>
  <c r="I77" i="4"/>
  <c r="H77" i="4"/>
  <c r="I76" i="4"/>
  <c r="H76" i="4"/>
  <c r="I75" i="4"/>
  <c r="H75" i="4"/>
  <c r="I74" i="4"/>
  <c r="H74" i="4"/>
  <c r="I72" i="4"/>
  <c r="H72" i="4"/>
  <c r="I71" i="4"/>
  <c r="H71" i="4"/>
  <c r="I70" i="4"/>
  <c r="H70" i="4"/>
  <c r="I69" i="4"/>
  <c r="H69" i="4"/>
  <c r="I62" i="4"/>
  <c r="H62" i="4"/>
  <c r="I57" i="4"/>
  <c r="H57" i="4"/>
  <c r="I56" i="4"/>
  <c r="H56" i="4"/>
  <c r="I54" i="4"/>
  <c r="H54" i="4"/>
  <c r="I53" i="4"/>
  <c r="H53" i="4"/>
  <c r="I51" i="4"/>
  <c r="H51" i="4"/>
  <c r="I44" i="4"/>
  <c r="H44" i="4"/>
  <c r="I17" i="4"/>
  <c r="I13" i="4"/>
  <c r="H13" i="4"/>
  <c r="H17" i="4" l="1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9" i="4" s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H15" i="4" s="1"/>
  <c r="I15" i="4" s="1"/>
  <c r="G16" i="4"/>
  <c r="G13" i="4"/>
  <c r="G10" i="4"/>
  <c r="L222" i="1"/>
  <c r="F10" i="5"/>
  <c r="H14" i="4" l="1"/>
  <c r="H97" i="1" s="1"/>
  <c r="H155" i="1" s="1"/>
  <c r="I14" i="4"/>
  <c r="I16" i="4"/>
  <c r="H16" i="4"/>
  <c r="H142" i="1" s="1"/>
  <c r="H135" i="1"/>
  <c r="G37" i="4"/>
  <c r="G36" i="4"/>
  <c r="I145" i="1"/>
  <c r="H98" i="1"/>
  <c r="H93" i="1"/>
  <c r="H115" i="1" s="1"/>
  <c r="H134" i="1"/>
  <c r="H112" i="1"/>
  <c r="H96" i="1"/>
  <c r="H110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<sst xmlns="http://schemas.openxmlformats.org/spreadsheetml/2006/main" count="520" uniqueCount="278">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</sst>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43" fontId="0" fillId="2" borderId="6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Revenue%20Requirement%20%20Model%20Tax%20Updated_E%20L%20K%20%20V12%20Aug%2017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Energy%202017%20Load%20Forecast%20-%20July%205,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Trial Balance"/>
      <sheetName val="2012 Balance Sheet"/>
      <sheetName val="2012 Income Statement"/>
      <sheetName val="2013 Balance Sheet"/>
      <sheetName val="2013 Income Statement"/>
      <sheetName val="2014 Balance Sheet"/>
      <sheetName val="2014 Income Statement"/>
      <sheetName val="2015 Balance Sheet"/>
      <sheetName val="2015 Income Statement"/>
      <sheetName val="2016 Balance Sheet"/>
      <sheetName val="2016 Income Statement"/>
      <sheetName val="2017 Balance Sheet"/>
      <sheetName val="2017 Income Statement"/>
      <sheetName val="Return on Capital"/>
      <sheetName val="Debt &amp; Capital Structure"/>
      <sheetName val="Tax rates"/>
      <sheetName val="CCA Continuity 2016"/>
      <sheetName val="CCA Continuity 2017"/>
      <sheetName val="Reserves Continuity"/>
      <sheetName val="Corporation Loss Continuity"/>
      <sheetName val="Tax Adjustments 2016"/>
      <sheetName val="Tax Adjustments 2017"/>
      <sheetName val="2017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>
        <row r="55">
          <cell r="E55">
            <v>1232467</v>
          </cell>
        </row>
      </sheetData>
      <sheetData sheetId="6">
        <row r="55">
          <cell r="E55">
            <v>1066470</v>
          </cell>
        </row>
      </sheetData>
      <sheetData sheetId="7">
        <row r="292">
          <cell r="L292">
            <v>283753.30499999999</v>
          </cell>
          <cell r="N292">
            <v>289138.9975</v>
          </cell>
        </row>
        <row r="294">
          <cell r="L294">
            <v>25094.38</v>
          </cell>
          <cell r="N294">
            <v>32214.356</v>
          </cell>
        </row>
        <row r="301">
          <cell r="L301">
            <v>32000</v>
          </cell>
          <cell r="N301">
            <v>37516.588000000003</v>
          </cell>
        </row>
        <row r="304">
          <cell r="L304">
            <v>1000</v>
          </cell>
          <cell r="N304">
            <v>2223.402</v>
          </cell>
        </row>
        <row r="305">
          <cell r="L305">
            <v>170186.11</v>
          </cell>
          <cell r="N305">
            <v>415326.94500000001</v>
          </cell>
        </row>
        <row r="308">
          <cell r="L308">
            <v>1000</v>
          </cell>
          <cell r="N308">
            <v>3420.5099999999998</v>
          </cell>
        </row>
        <row r="310">
          <cell r="L310">
            <v>130000</v>
          </cell>
          <cell r="N310">
            <v>140400</v>
          </cell>
        </row>
        <row r="315">
          <cell r="L315">
            <v>6000</v>
          </cell>
          <cell r="N315">
            <v>8591.0439999999999</v>
          </cell>
        </row>
        <row r="322">
          <cell r="L322">
            <v>9000</v>
          </cell>
          <cell r="N322">
            <v>19547.477999999996</v>
          </cell>
        </row>
        <row r="323">
          <cell r="L323">
            <v>121019.67499999999</v>
          </cell>
          <cell r="N323">
            <v>98528.45699999998</v>
          </cell>
        </row>
        <row r="324">
          <cell r="L324">
            <v>29000</v>
          </cell>
          <cell r="N324">
            <v>42502.341999999997</v>
          </cell>
        </row>
        <row r="325">
          <cell r="L325">
            <v>370686.77</v>
          </cell>
          <cell r="N325">
            <v>331807.37310000003</v>
          </cell>
        </row>
        <row r="327">
          <cell r="L327">
            <v>49488.584999999999</v>
          </cell>
          <cell r="N327">
            <v>53276.355000000003</v>
          </cell>
        </row>
        <row r="328">
          <cell r="L328">
            <v>82000</v>
          </cell>
          <cell r="N328">
            <v>73204.796000000002</v>
          </cell>
        </row>
        <row r="329">
          <cell r="L329">
            <v>17000</v>
          </cell>
          <cell r="N329">
            <v>28177.876</v>
          </cell>
        </row>
        <row r="333">
          <cell r="L333">
            <v>237613.57</v>
          </cell>
          <cell r="N333">
            <v>249494.24850000002</v>
          </cell>
        </row>
        <row r="341">
          <cell r="L341">
            <v>105000</v>
          </cell>
          <cell r="N341">
            <v>113400.00000000001</v>
          </cell>
        </row>
        <row r="342">
          <cell r="L342">
            <v>40000</v>
          </cell>
          <cell r="N342">
            <v>62488.918000000005</v>
          </cell>
        </row>
        <row r="343">
          <cell r="L343">
            <v>258028.375</v>
          </cell>
          <cell r="N343">
            <v>270929.79375000001</v>
          </cell>
        </row>
        <row r="344">
          <cell r="L344">
            <v>84908.43</v>
          </cell>
          <cell r="N344">
            <v>87455.6829</v>
          </cell>
        </row>
        <row r="345">
          <cell r="L345">
            <v>1838.3899999999999</v>
          </cell>
          <cell r="N345">
            <v>1264.4099999999999</v>
          </cell>
        </row>
        <row r="346">
          <cell r="L346">
            <v>5214.7800000000007</v>
          </cell>
          <cell r="N346">
            <v>5051.5239999999994</v>
          </cell>
        </row>
        <row r="351">
          <cell r="L351">
            <v>-4685.09</v>
          </cell>
          <cell r="N351">
            <v>9604.59</v>
          </cell>
        </row>
        <row r="358">
          <cell r="L358">
            <v>166.155</v>
          </cell>
          <cell r="N358">
            <v>1091.92875</v>
          </cell>
        </row>
        <row r="361">
          <cell r="L361">
            <v>21000</v>
          </cell>
          <cell r="N361">
            <v>21630</v>
          </cell>
        </row>
        <row r="362">
          <cell r="L362">
            <v>317000</v>
          </cell>
          <cell r="N362">
            <v>551510</v>
          </cell>
        </row>
        <row r="363">
          <cell r="L363">
            <v>79000</v>
          </cell>
          <cell r="N363">
            <v>81370</v>
          </cell>
        </row>
        <row r="364">
          <cell r="L364">
            <v>81500</v>
          </cell>
          <cell r="N364">
            <v>83945</v>
          </cell>
        </row>
        <row r="366">
          <cell r="L366">
            <v>250000</v>
          </cell>
          <cell r="N366">
            <v>250000</v>
          </cell>
        </row>
        <row r="367">
          <cell r="L367">
            <v>30434.485000000001</v>
          </cell>
          <cell r="N367">
            <v>30434.484999999997</v>
          </cell>
        </row>
        <row r="368">
          <cell r="L368">
            <v>51000</v>
          </cell>
          <cell r="N368">
            <v>53550</v>
          </cell>
        </row>
        <row r="371">
          <cell r="L371">
            <v>200000</v>
          </cell>
          <cell r="N371">
            <v>180000</v>
          </cell>
        </row>
        <row r="373">
          <cell r="L373">
            <v>7000</v>
          </cell>
          <cell r="N373">
            <v>15000</v>
          </cell>
        </row>
        <row r="375">
          <cell r="L375">
            <v>84291.892500000002</v>
          </cell>
          <cell r="N375">
            <v>84291.892500000002</v>
          </cell>
        </row>
        <row r="376">
          <cell r="L376">
            <v>5000</v>
          </cell>
          <cell r="N376">
            <v>5150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 "/>
      <sheetName val="Purchased Power Model  WN"/>
      <sheetName val="Rate Class Energy Model"/>
      <sheetName val="Rate Class Customer Model"/>
      <sheetName val="Rate Class Load Model"/>
      <sheetName val="CDM Activity"/>
      <sheetName val="Weather Analysis"/>
      <sheetName val="Loss Factor"/>
    </sheetNames>
    <sheetDataSet>
      <sheetData sheetId="0"/>
      <sheetData sheetId="1">
        <row r="52">
          <cell r="L52">
            <v>232502517.32197464</v>
          </cell>
          <cell r="M52">
            <v>233105737.22604215</v>
          </cell>
          <cell r="N52">
            <v>229752893.87397906</v>
          </cell>
        </row>
      </sheetData>
      <sheetData sheetId="2"/>
      <sheetData sheetId="3"/>
      <sheetData sheetId="4"/>
      <sheetData sheetId="5">
        <row r="45">
          <cell r="J45">
            <v>11855.3272856111</v>
          </cell>
          <cell r="K45">
            <v>1.1127499418158229</v>
          </cell>
        </row>
        <row r="46">
          <cell r="J46">
            <v>11907.134346085668</v>
          </cell>
          <cell r="K46">
            <v>1.1079480796684742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topLeftCell="A101" zoomScaleNormal="100" workbookViewId="0">
      <selection activeCell="H122" sqref="H1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3" t="s">
        <v>189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25">
      <c r="C3" s="224" t="str">
        <f>IF(F5="Click to Choose an LDC","",F5)</f>
        <v>E.L.K. Energy Inc.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49"/>
    </row>
    <row r="5" spans="2:15" ht="25.5" customHeight="1" thickBot="1" x14ac:dyDescent="0.25">
      <c r="B5" s="144" t="s">
        <v>187</v>
      </c>
      <c r="E5" s="78"/>
      <c r="F5" s="145" t="s">
        <v>215</v>
      </c>
      <c r="G5" s="14" t="s">
        <v>173</v>
      </c>
      <c r="H5" s="14" t="s">
        <v>174</v>
      </c>
      <c r="I5" s="14" t="s">
        <v>172</v>
      </c>
      <c r="J5" s="225" t="s">
        <v>175</v>
      </c>
      <c r="K5" s="225"/>
      <c r="L5" s="225"/>
      <c r="M5" s="225"/>
      <c r="N5" s="78"/>
      <c r="O5" s="94"/>
    </row>
    <row r="6" spans="2:15" ht="36" customHeight="1" x14ac:dyDescent="0.35">
      <c r="B6" s="6" t="s">
        <v>178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6"/>
      <c r="I8" s="226"/>
      <c r="J8" s="226"/>
      <c r="K8" s="226"/>
      <c r="L8" s="226"/>
      <c r="M8" s="226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1080986.26</v>
      </c>
      <c r="H9" s="125">
        <f>'[1]FA Continuity 2016'!$E$55</f>
        <v>1232467</v>
      </c>
      <c r="I9" s="125">
        <f>'[1]FA Continuity 2017'!$E$55</f>
        <v>1066470</v>
      </c>
      <c r="J9" s="125"/>
      <c r="K9" s="125"/>
      <c r="L9" s="125"/>
      <c r="M9" s="125"/>
      <c r="N9" s="78" t="s">
        <v>170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170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11705</v>
      </c>
      <c r="H13" s="125">
        <f>'[2]Rate Class Customer Model'!$J$45</f>
        <v>11855.3272856111</v>
      </c>
      <c r="I13" s="125">
        <f>'[2]Rate Class Customer Model'!$J$46</f>
        <v>11907.134346085668</v>
      </c>
      <c r="J13" s="125"/>
      <c r="K13" s="125"/>
      <c r="L13" s="125"/>
      <c r="M13" s="125"/>
      <c r="N13" s="78" t="s">
        <v>170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239982794</v>
      </c>
      <c r="H14" s="220">
        <f>[2]Summary!$M$52/[2]Summary!$L$52*G14</f>
        <v>240605421.22847885</v>
      </c>
      <c r="I14" s="125">
        <f>[2]Summary!$N$52/[2]Summary!$L$52*G14</f>
        <v>237144707.23389372</v>
      </c>
      <c r="J14" s="125"/>
      <c r="K14" s="125"/>
      <c r="L14" s="125"/>
      <c r="M14" s="125"/>
      <c r="N14" s="78" t="s">
        <v>170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59146</v>
      </c>
      <c r="H15" s="125">
        <f>G15</f>
        <v>59146</v>
      </c>
      <c r="I15" s="125">
        <f>H15</f>
        <v>59146</v>
      </c>
      <c r="J15" s="125"/>
      <c r="K15" s="125"/>
      <c r="L15" s="125"/>
      <c r="M15" s="125"/>
      <c r="N15" s="78" t="s">
        <v>170</v>
      </c>
      <c r="O15" s="88"/>
    </row>
    <row r="16" spans="2:15" x14ac:dyDescent="0.2">
      <c r="B16" s="2">
        <v>6</v>
      </c>
      <c r="C16" s="26"/>
      <c r="D16" s="78" t="s">
        <v>190</v>
      </c>
      <c r="F16" s="26"/>
      <c r="G16" s="86">
        <f>'Benchmarking Calculations'!G99</f>
        <v>157</v>
      </c>
      <c r="H16" s="125">
        <f>G16</f>
        <v>157</v>
      </c>
      <c r="I16" s="125">
        <f>G16</f>
        <v>157</v>
      </c>
      <c r="J16" s="125"/>
      <c r="K16" s="125"/>
      <c r="L16" s="125"/>
      <c r="M16" s="125"/>
      <c r="N16" s="78" t="s">
        <v>170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0.10895310279488395</v>
      </c>
      <c r="H17" s="119">
        <f>'[2]Rate Class Customer Model'!$K$45-1</f>
        <v>0.11274994181582287</v>
      </c>
      <c r="I17" s="119">
        <f>'[2]Rate Class Customer Model'!$K$46-1</f>
        <v>0.1079480796684742</v>
      </c>
      <c r="J17" s="119"/>
      <c r="K17" s="119"/>
      <c r="L17" s="119"/>
      <c r="M17" s="119"/>
      <c r="N17" s="78" t="s">
        <v>170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6"/>
      <c r="I19" s="226"/>
      <c r="J19" s="226"/>
      <c r="K19" s="226"/>
      <c r="L19" s="226"/>
      <c r="M19" s="226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186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186</v>
      </c>
    </row>
    <row r="22" spans="2:15" x14ac:dyDescent="0.2">
      <c r="B22" s="2">
        <v>10</v>
      </c>
      <c r="C22" s="38"/>
      <c r="D22" s="26" t="s">
        <v>171</v>
      </c>
      <c r="F22" s="78"/>
      <c r="G22" s="90">
        <f>'Benchmarking Calculations'!G110</f>
        <v>6.5054666666666677E-2</v>
      </c>
      <c r="H22" s="124">
        <v>6.2799999999999995E-2</v>
      </c>
      <c r="I22" s="124">
        <v>6.2799999999999995E-2</v>
      </c>
      <c r="J22" s="124"/>
      <c r="K22" s="124"/>
      <c r="L22" s="124"/>
      <c r="M22" s="124"/>
      <c r="N22" s="78" t="s">
        <v>170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191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221" t="s">
        <v>276</v>
      </c>
      <c r="F27" s="76" t="s">
        <v>196</v>
      </c>
      <c r="G27" s="51">
        <f>G35-G36+G37</f>
        <v>2585911.6999999997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188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221" t="s">
        <v>277</v>
      </c>
      <c r="F29" s="76" t="s">
        <v>200</v>
      </c>
      <c r="G29" s="51">
        <f t="shared" ref="G29:M29" si="1">G115-G121+G122</f>
        <v>2585911.6999999997</v>
      </c>
      <c r="H29" s="51">
        <f t="shared" si="1"/>
        <v>3181539.8125000005</v>
      </c>
      <c r="I29" s="51">
        <f t="shared" si="1"/>
        <v>3733538.9930000002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169</v>
      </c>
      <c r="F31" s="78"/>
      <c r="G31" s="51">
        <f t="shared" ref="G31:M31" si="2">IF($E$27="Y",G27,IF($E$29="Y",G29,"Error: Please enter Y for one method"))</f>
        <v>2585911.6999999997</v>
      </c>
      <c r="H31" s="51">
        <f t="shared" si="2"/>
        <v>3181539.8125000005</v>
      </c>
      <c r="I31" s="51">
        <f t="shared" si="2"/>
        <v>3733538.9930000002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177</v>
      </c>
      <c r="E34" s="26"/>
      <c r="F34" s="26"/>
      <c r="G34" s="86"/>
      <c r="H34" s="222" t="s">
        <v>181</v>
      </c>
      <c r="I34" s="222"/>
      <c r="J34" s="222"/>
      <c r="K34" s="222"/>
      <c r="L34" s="222"/>
      <c r="M34" s="222"/>
      <c r="N34" s="154"/>
    </row>
    <row r="35" spans="2:14" x14ac:dyDescent="0.2">
      <c r="C35" s="153"/>
      <c r="D35" s="170" t="s">
        <v>193</v>
      </c>
      <c r="E35" s="26" t="s">
        <v>201</v>
      </c>
      <c r="F35" s="26"/>
      <c r="G35" s="85">
        <f>G115</f>
        <v>2554354.5099999998</v>
      </c>
      <c r="H35" s="125"/>
      <c r="I35" s="125"/>
      <c r="J35" s="120"/>
      <c r="K35" s="120"/>
      <c r="L35" s="120"/>
      <c r="M35" s="120"/>
      <c r="N35" s="154" t="s">
        <v>170</v>
      </c>
    </row>
    <row r="36" spans="2:14" x14ac:dyDescent="0.2">
      <c r="C36" s="153"/>
      <c r="D36" s="170" t="s">
        <v>194</v>
      </c>
      <c r="E36" s="26" t="s">
        <v>192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4" t="s">
        <v>170</v>
      </c>
    </row>
    <row r="37" spans="2:14" x14ac:dyDescent="0.2">
      <c r="C37" s="153"/>
      <c r="D37" s="171" t="s">
        <v>195</v>
      </c>
      <c r="E37" s="26" t="s">
        <v>83</v>
      </c>
      <c r="F37" s="26"/>
      <c r="G37" s="51">
        <f>G122</f>
        <v>31557.19</v>
      </c>
      <c r="H37" s="125"/>
      <c r="I37" s="125"/>
      <c r="J37" s="120"/>
      <c r="K37" s="120"/>
      <c r="L37" s="120"/>
      <c r="M37" s="120"/>
      <c r="N37" s="154" t="s">
        <v>170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18298.29</v>
      </c>
      <c r="H44" s="142">
        <f>'[1]Trial Balance'!$L$294</f>
        <v>25094.38</v>
      </c>
      <c r="I44" s="142">
        <f>'[1]Trial Balance'!$N$294</f>
        <v>32214.356</v>
      </c>
      <c r="J44" s="143"/>
      <c r="K44" s="143"/>
      <c r="L44" s="143"/>
      <c r="M44" s="143"/>
      <c r="N44" s="154" t="s">
        <v>170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4" t="s">
        <v>170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2"/>
      <c r="I46" s="142"/>
      <c r="J46" s="143"/>
      <c r="K46" s="143"/>
      <c r="L46" s="143"/>
      <c r="M46" s="143"/>
      <c r="N46" s="154" t="s">
        <v>170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4" t="s">
        <v>170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4" t="s">
        <v>170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0</v>
      </c>
      <c r="H49" s="142"/>
      <c r="I49" s="142"/>
      <c r="J49" s="143"/>
      <c r="K49" s="143"/>
      <c r="L49" s="143"/>
      <c r="M49" s="143"/>
      <c r="N49" s="154" t="s">
        <v>170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2"/>
      <c r="I50" s="142"/>
      <c r="J50" s="143"/>
      <c r="K50" s="143"/>
      <c r="L50" s="143"/>
      <c r="M50" s="143"/>
      <c r="N50" s="154" t="s">
        <v>170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37314.06</v>
      </c>
      <c r="H51" s="142">
        <f>'[1]Trial Balance'!$L$301</f>
        <v>32000</v>
      </c>
      <c r="I51" s="142">
        <f>'[1]Trial Balance'!$N$301</f>
        <v>37516.588000000003</v>
      </c>
      <c r="J51" s="143"/>
      <c r="K51" s="143"/>
      <c r="L51" s="143"/>
      <c r="M51" s="143"/>
      <c r="N51" s="154" t="s">
        <v>170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0</v>
      </c>
      <c r="H52" s="142"/>
      <c r="I52" s="142"/>
      <c r="J52" s="143"/>
      <c r="K52" s="143"/>
      <c r="L52" s="143"/>
      <c r="M52" s="143"/>
      <c r="N52" s="154" t="s">
        <v>170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1010.61</v>
      </c>
      <c r="H53" s="142">
        <f>'[1]Trial Balance'!$L$304</f>
        <v>1000</v>
      </c>
      <c r="I53" s="142">
        <f>'[1]Trial Balance'!$N$304</f>
        <v>2223.402</v>
      </c>
      <c r="J53" s="143"/>
      <c r="K53" s="143"/>
      <c r="L53" s="143"/>
      <c r="M53" s="143"/>
      <c r="N53" s="154" t="s">
        <v>170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180467.78</v>
      </c>
      <c r="H54" s="142">
        <f>'[1]Trial Balance'!$L$305</f>
        <v>170186.11</v>
      </c>
      <c r="I54" s="142">
        <f>'[1]Trial Balance'!$N$305</f>
        <v>415326.94500000001</v>
      </c>
      <c r="J54" s="143"/>
      <c r="K54" s="143"/>
      <c r="L54" s="143"/>
      <c r="M54" s="143"/>
      <c r="N54" s="154" t="s">
        <v>170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4" t="s">
        <v>170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3500.21</v>
      </c>
      <c r="H56" s="142">
        <f>'[1]Trial Balance'!$L$308</f>
        <v>1000</v>
      </c>
      <c r="I56" s="142">
        <f>'[1]Trial Balance'!$N$308</f>
        <v>3420.5099999999998</v>
      </c>
      <c r="J56" s="143"/>
      <c r="K56" s="143"/>
      <c r="L56" s="143"/>
      <c r="M56" s="143"/>
      <c r="N56" s="154" t="s">
        <v>170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16919.88</v>
      </c>
      <c r="H57" s="142">
        <f>'[1]Trial Balance'!$L$310</f>
        <v>130000</v>
      </c>
      <c r="I57" s="142">
        <f>'[1]Trial Balance'!$N$310</f>
        <v>140400</v>
      </c>
      <c r="J57" s="143"/>
      <c r="K57" s="143"/>
      <c r="L57" s="143"/>
      <c r="M57" s="143"/>
      <c r="N57" s="154" t="s">
        <v>170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4" t="s">
        <v>170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4" t="s">
        <v>170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0</v>
      </c>
      <c r="H60" s="142"/>
      <c r="I60" s="142"/>
      <c r="J60" s="143"/>
      <c r="K60" s="143"/>
      <c r="L60" s="143"/>
      <c r="M60" s="143"/>
      <c r="N60" s="154" t="s">
        <v>170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4" t="s">
        <v>170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5578.69</v>
      </c>
      <c r="H62" s="142">
        <f>'[1]Trial Balance'!$L$315</f>
        <v>6000</v>
      </c>
      <c r="I62" s="142">
        <f>'[1]Trial Balance'!$N$315</f>
        <v>8591.0439999999999</v>
      </c>
      <c r="J62" s="143"/>
      <c r="K62" s="143"/>
      <c r="L62" s="143"/>
      <c r="M62" s="143"/>
      <c r="N62" s="154" t="s">
        <v>170</v>
      </c>
    </row>
    <row r="63" spans="3:14" x14ac:dyDescent="0.2">
      <c r="C63" s="158"/>
      <c r="D63" s="26"/>
      <c r="E63" s="111">
        <v>5096</v>
      </c>
      <c r="F63" s="169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4" t="s">
        <v>170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263089.51999999996</v>
      </c>
      <c r="H64" s="81">
        <f>SUM(H44:H63)</f>
        <v>365280.49</v>
      </c>
      <c r="I64" s="81">
        <f t="shared" ref="I64:M64" si="3">SUM(I44:I63)</f>
        <v>639692.84499999997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2"/>
      <c r="I65" s="142"/>
      <c r="J65" s="143"/>
      <c r="K65" s="143"/>
      <c r="L65" s="143"/>
      <c r="M65" s="143"/>
      <c r="N65" s="154" t="s">
        <v>170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4" t="s">
        <v>170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4" t="s">
        <v>170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0</v>
      </c>
      <c r="H68" s="142"/>
      <c r="I68" s="142"/>
      <c r="J68" s="143"/>
      <c r="K68" s="143"/>
      <c r="L68" s="143"/>
      <c r="M68" s="143"/>
      <c r="N68" s="154" t="s">
        <v>170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12302.31</v>
      </c>
      <c r="H69" s="142">
        <f>'[1]Trial Balance'!$L$322</f>
        <v>9000</v>
      </c>
      <c r="I69" s="142">
        <f>'[1]Trial Balance'!$N$322</f>
        <v>19547.477999999996</v>
      </c>
      <c r="J69" s="143"/>
      <c r="K69" s="143"/>
      <c r="L69" s="143"/>
      <c r="M69" s="143"/>
      <c r="N69" s="154" t="s">
        <v>170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151180.76999999999</v>
      </c>
      <c r="H70" s="142">
        <f>'[1]Trial Balance'!$L$323</f>
        <v>121019.67499999999</v>
      </c>
      <c r="I70" s="142">
        <f>'[1]Trial Balance'!$N$323</f>
        <v>98528.45699999998</v>
      </c>
      <c r="J70" s="143"/>
      <c r="K70" s="143"/>
      <c r="L70" s="143"/>
      <c r="M70" s="143"/>
      <c r="N70" s="154" t="s">
        <v>170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48857.25</v>
      </c>
      <c r="H71" s="142">
        <f>'[1]Trial Balance'!$L$324</f>
        <v>29000</v>
      </c>
      <c r="I71" s="142">
        <f>'[1]Trial Balance'!$N$324</f>
        <v>42502.341999999997</v>
      </c>
      <c r="J71" s="143"/>
      <c r="K71" s="143"/>
      <c r="L71" s="143"/>
      <c r="M71" s="143"/>
      <c r="N71" s="154" t="s">
        <v>170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320686.77</v>
      </c>
      <c r="H72" s="142">
        <f>'[1]Trial Balance'!$L$325</f>
        <v>370686.77</v>
      </c>
      <c r="I72" s="142">
        <f>'[1]Trial Balance'!$N$325</f>
        <v>331807.37310000003</v>
      </c>
      <c r="J72" s="143"/>
      <c r="K72" s="143"/>
      <c r="L72" s="143"/>
      <c r="M72" s="143"/>
      <c r="N72" s="154" t="s">
        <v>170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2"/>
      <c r="I73" s="142"/>
      <c r="J73" s="143"/>
      <c r="K73" s="143"/>
      <c r="L73" s="143"/>
      <c r="M73" s="143"/>
      <c r="N73" s="154" t="s">
        <v>170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57680.22</v>
      </c>
      <c r="H74" s="142">
        <f>'[1]Trial Balance'!$L$327</f>
        <v>49488.584999999999</v>
      </c>
      <c r="I74" s="142">
        <f>'[1]Trial Balance'!$N$327</f>
        <v>53276.355000000003</v>
      </c>
      <c r="J74" s="143"/>
      <c r="K74" s="143"/>
      <c r="L74" s="143"/>
      <c r="M74" s="143"/>
      <c r="N74" s="154" t="s">
        <v>170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89065.94</v>
      </c>
      <c r="H75" s="142">
        <f>'[1]Trial Balance'!$L$328</f>
        <v>82000</v>
      </c>
      <c r="I75" s="142">
        <f>'[1]Trial Balance'!$N$328</f>
        <v>73204.796000000002</v>
      </c>
      <c r="J75" s="143"/>
      <c r="K75" s="143"/>
      <c r="L75" s="143"/>
      <c r="M75" s="143"/>
      <c r="N75" s="154" t="s">
        <v>170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19306.669999999998</v>
      </c>
      <c r="H76" s="142">
        <f>'[1]Trial Balance'!$L$329</f>
        <v>17000</v>
      </c>
      <c r="I76" s="142">
        <f>'[1]Trial Balance'!$N$329</f>
        <v>28177.876</v>
      </c>
      <c r="J76" s="143"/>
      <c r="K76" s="143"/>
      <c r="L76" s="143"/>
      <c r="M76" s="143"/>
      <c r="N76" s="154" t="s">
        <v>170</v>
      </c>
    </row>
    <row r="77" spans="3:14" x14ac:dyDescent="0.2">
      <c r="C77" s="158"/>
      <c r="D77" s="26"/>
      <c r="E77" s="111">
        <v>5175</v>
      </c>
      <c r="F77" s="169" t="s">
        <v>42</v>
      </c>
      <c r="G77" s="112">
        <f>'Benchmarking Calculations'!G43</f>
        <v>237613.57</v>
      </c>
      <c r="H77" s="142">
        <f>'[1]Trial Balance'!$L$333</f>
        <v>237613.57</v>
      </c>
      <c r="I77" s="142">
        <f>'[1]Trial Balance'!$N$333</f>
        <v>249494.24850000002</v>
      </c>
      <c r="J77" s="143"/>
      <c r="K77" s="143"/>
      <c r="L77" s="143"/>
      <c r="M77" s="143"/>
      <c r="N77" s="154" t="s">
        <v>170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936693.5</v>
      </c>
      <c r="H78" s="81">
        <f>SUM(H65:H77)</f>
        <v>915808.60000000009</v>
      </c>
      <c r="I78" s="81">
        <f t="shared" ref="I78:M78" si="4">SUM(I65:I77)</f>
        <v>896538.92559999996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102514.54</v>
      </c>
      <c r="H79" s="142">
        <f>'[1]Trial Balance'!$L$341</f>
        <v>105000</v>
      </c>
      <c r="I79" s="142">
        <f>'[1]Trial Balance'!$N$341</f>
        <v>113400.00000000001</v>
      </c>
      <c r="J79" s="143"/>
      <c r="K79" s="143"/>
      <c r="L79" s="143"/>
      <c r="M79" s="143"/>
      <c r="N79" s="154" t="s">
        <v>170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54311.199999999997</v>
      </c>
      <c r="H80" s="142">
        <f>'[1]Trial Balance'!$L$342</f>
        <v>40000</v>
      </c>
      <c r="I80" s="142">
        <f>'[1]Trial Balance'!$N$342</f>
        <v>62488.918000000005</v>
      </c>
      <c r="J80" s="143"/>
      <c r="K80" s="143"/>
      <c r="L80" s="143"/>
      <c r="M80" s="143"/>
      <c r="N80" s="154" t="s">
        <v>170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236392.21</v>
      </c>
      <c r="H81" s="142">
        <f>'[1]Trial Balance'!$L$343</f>
        <v>258028.375</v>
      </c>
      <c r="I81" s="142">
        <f>'[1]Trial Balance'!$N$343</f>
        <v>270929.79375000001</v>
      </c>
      <c r="J81" s="143"/>
      <c r="K81" s="143"/>
      <c r="L81" s="143"/>
      <c r="M81" s="143"/>
      <c r="N81" s="154" t="s">
        <v>170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89833.37</v>
      </c>
      <c r="H82" s="142">
        <f>'[1]Trial Balance'!$L$344</f>
        <v>84908.43</v>
      </c>
      <c r="I82" s="142">
        <f>'[1]Trial Balance'!$N$344</f>
        <v>87455.6829</v>
      </c>
      <c r="J82" s="143"/>
      <c r="K82" s="143"/>
      <c r="L82" s="143"/>
      <c r="M82" s="143"/>
      <c r="N82" s="154" t="s">
        <v>170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2753.27</v>
      </c>
      <c r="H83" s="142">
        <f>'[1]Trial Balance'!$L$345</f>
        <v>1838.3899999999999</v>
      </c>
      <c r="I83" s="142">
        <f>'[1]Trial Balance'!$N$345</f>
        <v>1264.4099999999999</v>
      </c>
      <c r="J83" s="143"/>
      <c r="K83" s="143"/>
      <c r="L83" s="143"/>
      <c r="M83" s="143"/>
      <c r="N83" s="154" t="s">
        <v>170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5329.26</v>
      </c>
      <c r="H84" s="142">
        <f>'[1]Trial Balance'!$L$346</f>
        <v>5214.7800000000007</v>
      </c>
      <c r="I84" s="142">
        <f>'[1]Trial Balance'!$N$346</f>
        <v>5051.5239999999994</v>
      </c>
      <c r="J84" s="143"/>
      <c r="K84" s="143"/>
      <c r="L84" s="143"/>
      <c r="M84" s="143"/>
      <c r="N84" s="154" t="s">
        <v>170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3"/>
      <c r="K85" s="143"/>
      <c r="L85" s="143"/>
      <c r="M85" s="143"/>
      <c r="N85" s="154" t="s">
        <v>170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491133.85</v>
      </c>
      <c r="H86" s="81">
        <f>SUM(H79:H85)</f>
        <v>494989.97500000003</v>
      </c>
      <c r="I86" s="81">
        <f t="shared" ref="I86:M86" si="5">SUM(I79:I85)</f>
        <v>540590.32865000004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4" t="s">
        <v>170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-12907.47</v>
      </c>
      <c r="H88" s="142">
        <f>'[1]Trial Balance'!$L$351</f>
        <v>-4685.09</v>
      </c>
      <c r="I88" s="142">
        <f>'[1]Trial Balance'!$N$351</f>
        <v>9604.59</v>
      </c>
      <c r="J88" s="143"/>
      <c r="K88" s="143"/>
      <c r="L88" s="143"/>
      <c r="M88" s="143"/>
      <c r="N88" s="154" t="s">
        <v>170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4" t="s">
        <v>170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4" t="s">
        <v>170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-12907.47</v>
      </c>
      <c r="H91" s="81">
        <f>SUM(H87:H90)</f>
        <v>-4685.09</v>
      </c>
      <c r="I91" s="81">
        <f t="shared" ref="I91:M91" si="6">SUM(I87:I90)</f>
        <v>9604.59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22608.92</v>
      </c>
      <c r="H92" s="142">
        <f>'[1]Trial Balance'!$L$361</f>
        <v>21000</v>
      </c>
      <c r="I92" s="142">
        <f>'[1]Trial Balance'!$N$361</f>
        <v>21630</v>
      </c>
      <c r="J92" s="143"/>
      <c r="K92" s="143"/>
      <c r="L92" s="143"/>
      <c r="M92" s="143"/>
      <c r="N92" s="154" t="s">
        <v>170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310992.98</v>
      </c>
      <c r="H93" s="142">
        <f>'[1]Trial Balance'!$L$362</f>
        <v>317000</v>
      </c>
      <c r="I93" s="142">
        <f>'[1]Trial Balance'!$N$362</f>
        <v>551510</v>
      </c>
      <c r="J93" s="143"/>
      <c r="K93" s="143"/>
      <c r="L93" s="143"/>
      <c r="M93" s="143"/>
      <c r="N93" s="154" t="s">
        <v>170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76505.5</v>
      </c>
      <c r="H94" s="142">
        <f>'[1]Trial Balance'!$L$363</f>
        <v>79000</v>
      </c>
      <c r="I94" s="142">
        <f>'[1]Trial Balance'!$N$363</f>
        <v>81370</v>
      </c>
      <c r="J94" s="143"/>
      <c r="K94" s="143"/>
      <c r="L94" s="143"/>
      <c r="M94" s="143"/>
      <c r="N94" s="154" t="s">
        <v>170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79379.91</v>
      </c>
      <c r="H95" s="142">
        <f>'[1]Trial Balance'!$L$364</f>
        <v>81500</v>
      </c>
      <c r="I95" s="142">
        <f>'[1]Trial Balance'!$N$364</f>
        <v>83945</v>
      </c>
      <c r="J95" s="143"/>
      <c r="K95" s="143"/>
      <c r="L95" s="143"/>
      <c r="M95" s="143"/>
      <c r="N95" s="154" t="s">
        <v>170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4" t="s">
        <v>170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148908.07</v>
      </c>
      <c r="H97" s="142">
        <f>'[1]Trial Balance'!$L$366</f>
        <v>250000</v>
      </c>
      <c r="I97" s="142">
        <f>'[1]Trial Balance'!$N$366</f>
        <v>250000</v>
      </c>
      <c r="J97" s="143"/>
      <c r="K97" s="143"/>
      <c r="L97" s="143"/>
      <c r="M97" s="143"/>
      <c r="N97" s="154" t="s">
        <v>170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42777.47</v>
      </c>
      <c r="H98" s="142">
        <f>'[1]Trial Balance'!$L$368</f>
        <v>51000</v>
      </c>
      <c r="I98" s="142">
        <f>'[1]Trial Balance'!$N$368</f>
        <v>53550</v>
      </c>
      <c r="J98" s="143"/>
      <c r="K98" s="143"/>
      <c r="L98" s="143"/>
      <c r="M98" s="143"/>
      <c r="N98" s="154" t="s">
        <v>170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0</v>
      </c>
      <c r="H99" s="142"/>
      <c r="I99" s="142"/>
      <c r="J99" s="143"/>
      <c r="K99" s="143"/>
      <c r="L99" s="143"/>
      <c r="M99" s="143"/>
      <c r="N99" s="154" t="s">
        <v>170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4" t="s">
        <v>170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4" t="s">
        <v>170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4" t="s">
        <v>170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68693.039999999994</v>
      </c>
      <c r="H103" s="142">
        <f>'[1]Trial Balance'!$L$371</f>
        <v>200000</v>
      </c>
      <c r="I103" s="142">
        <f>'[1]Trial Balance'!$N$371</f>
        <v>180000</v>
      </c>
      <c r="J103" s="143"/>
      <c r="K103" s="143"/>
      <c r="L103" s="143"/>
      <c r="M103" s="143"/>
      <c r="N103" s="154" t="s">
        <v>170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10272.49</v>
      </c>
      <c r="H104" s="142">
        <f>'[1]Trial Balance'!$L$373</f>
        <v>7000</v>
      </c>
      <c r="I104" s="142">
        <f>'[1]Trial Balance'!$N$373</f>
        <v>15000</v>
      </c>
      <c r="J104" s="143"/>
      <c r="K104" s="143"/>
      <c r="L104" s="143"/>
      <c r="M104" s="143"/>
      <c r="N104" s="154" t="s">
        <v>170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4" t="s">
        <v>170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4" t="s">
        <v>170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83637.62</v>
      </c>
      <c r="H107" s="142">
        <f>'[1]Trial Balance'!$L$375</f>
        <v>84291.892500000002</v>
      </c>
      <c r="I107" s="142">
        <f>'[1]Trial Balance'!$N$375</f>
        <v>84291.892500000002</v>
      </c>
      <c r="J107" s="143"/>
      <c r="K107" s="143"/>
      <c r="L107" s="143"/>
      <c r="M107" s="143"/>
      <c r="N107" s="154" t="s">
        <v>170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5261.75</v>
      </c>
      <c r="H108" s="142">
        <f>'[1]Trial Balance'!$L$376</f>
        <v>5000</v>
      </c>
      <c r="I108" s="142">
        <f>'[1]Trial Balance'!$N$376</f>
        <v>5150</v>
      </c>
      <c r="J108" s="143"/>
      <c r="K108" s="143"/>
      <c r="L108" s="143"/>
      <c r="M108" s="143"/>
      <c r="N108" s="154" t="s">
        <v>170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849037.74999999988</v>
      </c>
      <c r="H109" s="81">
        <f>SUM(H92:H108)</f>
        <v>1095791.8925000001</v>
      </c>
      <c r="I109" s="81">
        <f t="shared" ref="I109:M109" si="7">SUM(I92:I108)</f>
        <v>1326446.8925000001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27207.360000000001</v>
      </c>
      <c r="H110" s="142">
        <f>'[1]Trial Balance'!$L$367</f>
        <v>30434.485000000001</v>
      </c>
      <c r="I110" s="142">
        <f>'[1]Trial Balance'!$N$367</f>
        <v>30434.484999999997</v>
      </c>
      <c r="J110" s="143"/>
      <c r="K110" s="143"/>
      <c r="L110" s="143"/>
      <c r="M110" s="143"/>
      <c r="N110" s="154" t="s">
        <v>170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4" t="s">
        <v>170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27207.360000000001</v>
      </c>
      <c r="H112" s="81">
        <f>H110+H111</f>
        <v>30434.485000000001</v>
      </c>
      <c r="I112" s="81">
        <f t="shared" ref="I112:M112" si="8">I110+I111</f>
        <v>30434.484999999997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100</v>
      </c>
      <c r="H113" s="142">
        <f>'[1]Trial Balance'!$L$358</f>
        <v>166.155</v>
      </c>
      <c r="I113" s="142">
        <f>'[1]Trial Balance'!$N$358</f>
        <v>1091.92875</v>
      </c>
      <c r="J113" s="143"/>
      <c r="K113" s="143"/>
      <c r="L113" s="143"/>
      <c r="M113" s="143"/>
      <c r="N113" s="154" t="s">
        <v>170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100</v>
      </c>
      <c r="H114" s="81">
        <f>H113</f>
        <v>166.155</v>
      </c>
      <c r="I114" s="81">
        <f t="shared" ref="I114:M114" si="9">I113</f>
        <v>1091.92875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2" t="s">
        <v>197</v>
      </c>
      <c r="F115" s="80" t="s">
        <v>80</v>
      </c>
      <c r="G115" s="58">
        <f>'Benchmarking Calculations'!G81</f>
        <v>2554354.5099999998</v>
      </c>
      <c r="H115" s="81">
        <f>H114+H112+H109+H91+H86+H78+H64</f>
        <v>2897786.5075000003</v>
      </c>
      <c r="I115" s="81">
        <f t="shared" ref="I115:M115" si="10">I114+I112+I109+I91+I86+I78+I64</f>
        <v>3444399.9955000002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2" t="s">
        <v>198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3" t="s">
        <v>29</v>
      </c>
    </row>
    <row r="122" spans="3:14" x14ac:dyDescent="0.2">
      <c r="C122" s="158"/>
      <c r="D122" s="77"/>
      <c r="E122" s="174" t="s">
        <v>199</v>
      </c>
      <c r="F122" s="80" t="s">
        <v>83</v>
      </c>
      <c r="G122" s="110">
        <f>'Benchmarking Calculations'!G88</f>
        <v>31557.19</v>
      </c>
      <c r="H122" s="175">
        <f>'[1]Trial Balance'!$L$292</f>
        <v>283753.30499999999</v>
      </c>
      <c r="I122" s="175">
        <f>'[1]Trial Balance'!$N$292</f>
        <v>289138.9975</v>
      </c>
      <c r="J122" s="175"/>
      <c r="K122" s="175"/>
      <c r="L122" s="175"/>
      <c r="M122" s="175"/>
      <c r="N122" s="176" t="s">
        <v>170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opLeftCell="V1" zoomScaleNormal="100" workbookViewId="0">
      <pane ySplit="5" topLeftCell="A44" activePane="bottomLeft" state="frozen"/>
      <selection activeCell="G33" sqref="G33"/>
      <selection pane="bottomLeft" activeCell="AC88" sqref="AC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86" width="13.42578125" style="114" customWidth="1"/>
    <col min="87" max="87" width="17.42578125" style="114" customWidth="1"/>
    <col min="88" max="93" width="9.140625" customWidth="1"/>
  </cols>
  <sheetData>
    <row r="1" spans="1:94" ht="24" thickBot="1" x14ac:dyDescent="0.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21" thickTop="1" thickBot="1" x14ac:dyDescent="0.4">
      <c r="A2" s="1"/>
      <c r="B2" s="100"/>
      <c r="C2" s="3"/>
      <c r="D2" s="3"/>
      <c r="E2" s="10"/>
      <c r="R2" s="181"/>
      <c r="S2" s="181"/>
    </row>
    <row r="3" spans="1:94" ht="48.75" customHeight="1" thickBot="1" x14ac:dyDescent="0.25">
      <c r="B3" s="228" t="s">
        <v>1</v>
      </c>
      <c r="C3" s="228"/>
      <c r="D3" s="101"/>
      <c r="E3" s="102" t="str">
        <f>'Model Inputs'!F5</f>
        <v>E.L.K. Energy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183" t="s">
        <v>202</v>
      </c>
      <c r="R3" s="183" t="s">
        <v>204</v>
      </c>
      <c r="S3" s="183" t="s">
        <v>205</v>
      </c>
      <c r="T3" s="183" t="s">
        <v>206</v>
      </c>
      <c r="U3" s="183" t="s">
        <v>207</v>
      </c>
      <c r="V3" s="183" t="s">
        <v>208</v>
      </c>
      <c r="W3" s="183" t="s">
        <v>209</v>
      </c>
      <c r="X3" s="183" t="s">
        <v>210</v>
      </c>
      <c r="Y3" s="183" t="s">
        <v>211</v>
      </c>
      <c r="Z3" s="183" t="s">
        <v>212</v>
      </c>
      <c r="AA3" s="183" t="s">
        <v>213</v>
      </c>
      <c r="AB3" s="183" t="s">
        <v>214</v>
      </c>
      <c r="AC3" s="183" t="s">
        <v>215</v>
      </c>
      <c r="AD3" s="183" t="s">
        <v>216</v>
      </c>
      <c r="AE3" s="183" t="s">
        <v>217</v>
      </c>
      <c r="AF3" s="183" t="s">
        <v>218</v>
      </c>
      <c r="AG3" s="183" t="s">
        <v>219</v>
      </c>
      <c r="AH3" s="183" t="s">
        <v>220</v>
      </c>
      <c r="AI3" s="183" t="s">
        <v>221</v>
      </c>
      <c r="AJ3" s="183" t="s">
        <v>222</v>
      </c>
      <c r="AK3" s="183" t="s">
        <v>223</v>
      </c>
      <c r="AL3" s="183" t="s">
        <v>224</v>
      </c>
      <c r="AM3" s="183" t="s">
        <v>225</v>
      </c>
      <c r="AN3" s="183" t="s">
        <v>226</v>
      </c>
      <c r="AO3" s="183" t="s">
        <v>227</v>
      </c>
      <c r="AP3" s="183" t="s">
        <v>228</v>
      </c>
      <c r="AQ3" s="183" t="s">
        <v>229</v>
      </c>
      <c r="AR3" s="183" t="s">
        <v>230</v>
      </c>
      <c r="AS3" s="183" t="s">
        <v>231</v>
      </c>
      <c r="AT3" s="183" t="s">
        <v>232</v>
      </c>
      <c r="AU3" s="183" t="s">
        <v>233</v>
      </c>
      <c r="AV3" s="183" t="s">
        <v>234</v>
      </c>
      <c r="AW3" s="183" t="s">
        <v>235</v>
      </c>
      <c r="AX3" s="183" t="s">
        <v>272</v>
      </c>
      <c r="AY3" s="183" t="s">
        <v>236</v>
      </c>
      <c r="AZ3" s="183" t="s">
        <v>237</v>
      </c>
      <c r="BA3" s="183" t="s">
        <v>238</v>
      </c>
      <c r="BB3" s="183" t="s">
        <v>239</v>
      </c>
      <c r="BC3" s="183" t="s">
        <v>240</v>
      </c>
      <c r="BD3" s="183" t="s">
        <v>241</v>
      </c>
      <c r="BE3" s="183" t="s">
        <v>242</v>
      </c>
      <c r="BF3" s="183" t="s">
        <v>243</v>
      </c>
      <c r="BG3" s="183" t="s">
        <v>244</v>
      </c>
      <c r="BH3" s="183" t="s">
        <v>245</v>
      </c>
      <c r="BI3" s="183" t="s">
        <v>246</v>
      </c>
      <c r="BJ3" s="183" t="s">
        <v>247</v>
      </c>
      <c r="BK3" s="183" t="s">
        <v>248</v>
      </c>
      <c r="BL3" s="183" t="s">
        <v>249</v>
      </c>
      <c r="BM3" s="183" t="s">
        <v>250</v>
      </c>
      <c r="BN3" s="183" t="s">
        <v>251</v>
      </c>
      <c r="BO3" s="183" t="s">
        <v>252</v>
      </c>
      <c r="BP3" s="183" t="s">
        <v>253</v>
      </c>
      <c r="BQ3" s="183" t="s">
        <v>254</v>
      </c>
      <c r="BR3" s="183" t="s">
        <v>255</v>
      </c>
      <c r="BS3" s="183" t="s">
        <v>256</v>
      </c>
      <c r="BT3" s="183" t="s">
        <v>257</v>
      </c>
      <c r="BU3" s="183" t="s">
        <v>258</v>
      </c>
      <c r="BV3" s="183" t="s">
        <v>259</v>
      </c>
      <c r="BW3" s="183" t="s">
        <v>260</v>
      </c>
      <c r="BX3" s="183" t="s">
        <v>261</v>
      </c>
      <c r="BY3" s="183" t="s">
        <v>262</v>
      </c>
      <c r="BZ3" s="183" t="s">
        <v>263</v>
      </c>
      <c r="CA3" s="183" t="s">
        <v>264</v>
      </c>
      <c r="CB3" s="183" t="s">
        <v>265</v>
      </c>
      <c r="CC3" s="183" t="s">
        <v>266</v>
      </c>
      <c r="CD3" s="183" t="s">
        <v>267</v>
      </c>
      <c r="CE3" s="183" t="s">
        <v>268</v>
      </c>
      <c r="CF3" s="183" t="s">
        <v>269</v>
      </c>
      <c r="CG3" s="183" t="s">
        <v>270</v>
      </c>
      <c r="CH3" s="183" t="s">
        <v>271</v>
      </c>
      <c r="CI3" s="183" t="s">
        <v>203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199" t="s">
        <v>273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5" thickBot="1" x14ac:dyDescent="0.25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6"/>
      <c r="N7" s="58"/>
      <c r="O7" s="114">
        <v>5</v>
      </c>
      <c r="P7" s="114">
        <v>0</v>
      </c>
      <c r="Q7" s="99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18298.29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37314.06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1010.61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180467.78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3500.21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16919.88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5578.69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263089.51999999996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12302.31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151180.76999999999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48857.25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320686.77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57680.22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89065.94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19306.669999999998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237613.57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936693.5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102514.54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54311.199999999997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236392.21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89833.37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2753.27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5329.26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491133.85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-12907.47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-12907.47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22608.92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310992.98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76505.5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79379.91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148908.07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42777.47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68693.039999999994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10272.49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83637.62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5261.75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849037.74999999988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27207.360000000001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27207.360000000001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100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100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2554354.5099999998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9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31557.19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2585911.6999999997</v>
      </c>
      <c r="H89" s="185">
        <f>'Model Inputs'!H31</f>
        <v>3181539.8125000005</v>
      </c>
      <c r="I89" s="186">
        <f>'Model Inputs'!I31</f>
        <v>3733538.9930000002</v>
      </c>
      <c r="J89" s="186">
        <f>'Model Inputs'!J31</f>
        <v>0</v>
      </c>
      <c r="K89" s="186">
        <f>'Model Inputs'!K31</f>
        <v>0</v>
      </c>
      <c r="L89" s="186">
        <f>'Model Inputs'!L31</f>
        <v>0</v>
      </c>
      <c r="M89" s="187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1080986.26</v>
      </c>
      <c r="H92" s="185">
        <f>'Model Inputs'!H9</f>
        <v>1232467</v>
      </c>
      <c r="I92" s="186">
        <f>'Model Inputs'!I9</f>
        <v>1066470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11705</v>
      </c>
      <c r="H96" s="185">
        <f>'Model Inputs'!H13</f>
        <v>11855.3272856111</v>
      </c>
      <c r="I96" s="186">
        <f>'Model Inputs'!I13</f>
        <v>11907.134346085668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239982794</v>
      </c>
      <c r="H97" s="185">
        <f>'Model Inputs'!H14</f>
        <v>240605421.22847885</v>
      </c>
      <c r="I97" s="186">
        <f>'Model Inputs'!I14</f>
        <v>237144707.23389372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59146</v>
      </c>
      <c r="H98" s="185">
        <f>'Model Inputs'!H15</f>
        <v>59146</v>
      </c>
      <c r="I98" s="186">
        <f>'Model Inputs'!I15</f>
        <v>59146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157</v>
      </c>
      <c r="H99" s="185">
        <f>'Model Inputs'!H16</f>
        <v>157</v>
      </c>
      <c r="I99" s="186">
        <f>'Model Inputs'!I16</f>
        <v>157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2585911.6999999997</v>
      </c>
      <c r="H107" s="29">
        <f t="shared" ref="H107:K107" si="4">H89</f>
        <v>3181539.8125000005</v>
      </c>
      <c r="I107" s="29">
        <f t="shared" si="4"/>
        <v>3733538.9930000002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0">
        <f>'Model Inputs'!H22</f>
        <v>6.2799999999999995E-2</v>
      </c>
      <c r="I110" s="201">
        <f>'Model Inputs'!I22</f>
        <v>6.2799999999999995E-2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165.70687961774755</v>
      </c>
      <c r="I112" s="204">
        <f>H112*EXP('Model Inputs'!I21)</f>
        <v>168.33656781093197</v>
      </c>
      <c r="J112" s="204">
        <f>I112*EXP('Model Inputs'!J21)</f>
        <v>168.33656781093197</v>
      </c>
      <c r="K112" s="204">
        <f>J112*EXP('Model Inputs'!K21)</f>
        <v>168.33656781093197</v>
      </c>
      <c r="L112" s="204">
        <f>K112*EXP('Model Inputs'!L21)</f>
        <v>168.33656781093197</v>
      </c>
      <c r="M112" s="205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17.849773217599605</v>
      </c>
      <c r="I113" s="29">
        <f t="shared" si="7"/>
        <v>18.133040502516323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89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1080986.26</v>
      </c>
      <c r="H114" s="206">
        <f>H92</f>
        <v>1232467</v>
      </c>
      <c r="I114" s="207">
        <f t="shared" ref="I114:L114" si="8">I92</f>
        <v>1066470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6627.0090456695661</v>
      </c>
      <c r="H116" s="8">
        <f t="shared" ref="H116:K116" si="12">(H114-H115)/H112</f>
        <v>7437.6332644912118</v>
      </c>
      <c r="I116" s="8">
        <f t="shared" si="12"/>
        <v>6335.3436146910808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6171.4743663031313</v>
      </c>
      <c r="H117" s="25">
        <f t="shared" ref="H117:M117" si="14">H111*G118</f>
        <v>6192.3834080860515</v>
      </c>
      <c r="I117" s="25">
        <f t="shared" si="14"/>
        <v>6249.5403764950488</v>
      </c>
      <c r="J117" s="25">
        <f t="shared" si="14"/>
        <v>6253.4787451282464</v>
      </c>
      <c r="K117" s="25">
        <f t="shared" si="14"/>
        <v>5966.4440707268604</v>
      </c>
      <c r="L117" s="25">
        <f t="shared" si="14"/>
        <v>5692.584287880497</v>
      </c>
      <c r="M117" s="25">
        <f t="shared" si="14"/>
        <v>5431.2946690667823</v>
      </c>
      <c r="N117" s="190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134910.31390165689</v>
      </c>
      <c r="H118" s="25">
        <f t="shared" ref="H118:M118" si="15">G118+H116-H117</f>
        <v>136155.56375806205</v>
      </c>
      <c r="I118" s="25">
        <f t="shared" si="15"/>
        <v>136241.36699625809</v>
      </c>
      <c r="J118" s="25">
        <f t="shared" si="15"/>
        <v>129987.88825112984</v>
      </c>
      <c r="K118" s="25">
        <f t="shared" si="15"/>
        <v>124021.44418040298</v>
      </c>
      <c r="L118" s="25">
        <f t="shared" si="15"/>
        <v>118328.85989252248</v>
      </c>
      <c r="M118" s="25">
        <f t="shared" si="15"/>
        <v>112897.56522345569</v>
      </c>
      <c r="N118" s="190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2418720.4523369777</v>
      </c>
      <c r="H119" s="25">
        <f t="shared" ref="H119:K119" si="16">H113*H118</f>
        <v>2430345.9353958312</v>
      </c>
      <c r="I119" s="25">
        <f t="shared" si="16"/>
        <v>2470470.2258613384</v>
      </c>
      <c r="J119" s="25">
        <f t="shared" si="16"/>
        <v>1004370.7169020451</v>
      </c>
      <c r="K119" s="25">
        <f t="shared" si="16"/>
        <v>958270.10099624121</v>
      </c>
      <c r="L119" s="25">
        <f t="shared" ref="L119:M119" si="17">L113*L118</f>
        <v>914285.50336051371</v>
      </c>
      <c r="M119" s="25">
        <f t="shared" si="17"/>
        <v>872319.79875626613</v>
      </c>
      <c r="N119" s="190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5004632.1523369774</v>
      </c>
      <c r="H121" s="25">
        <f t="shared" ref="H121:K121" si="18">H107+H119</f>
        <v>5611885.7478958312</v>
      </c>
      <c r="I121" s="25">
        <f t="shared" si="18"/>
        <v>6204009.2188613387</v>
      </c>
      <c r="J121" s="25">
        <f t="shared" si="18"/>
        <v>1004370.7169020451</v>
      </c>
      <c r="K121" s="25">
        <f t="shared" si="18"/>
        <v>958270.10099624121</v>
      </c>
      <c r="L121" s="25">
        <f t="shared" ref="L121:M121" si="19">L107+L119</f>
        <v>914285.50336051371</v>
      </c>
      <c r="M121" s="25">
        <f t="shared" si="19"/>
        <v>872319.79875626613</v>
      </c>
      <c r="N121" s="190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11705</v>
      </c>
      <c r="H128" s="8">
        <f t="shared" ref="H128:K130" si="20">H96</f>
        <v>11855.3272856111</v>
      </c>
      <c r="I128" s="8">
        <f t="shared" si="20"/>
        <v>11907.134346085668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239982794</v>
      </c>
      <c r="H129" s="39">
        <f t="shared" si="20"/>
        <v>240605421.22847885</v>
      </c>
      <c r="I129" s="39">
        <f t="shared" si="20"/>
        <v>237144707.23389372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59146</v>
      </c>
      <c r="H130" s="8">
        <f t="shared" si="20"/>
        <v>59146</v>
      </c>
      <c r="I130" s="8">
        <f t="shared" si="20"/>
        <v>59146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64272</v>
      </c>
      <c r="H131" s="8">
        <f t="shared" ref="H131:M131" si="24">MAX(G131,H130)</f>
        <v>64272</v>
      </c>
      <c r="I131" s="8">
        <f t="shared" si="24"/>
        <v>64272</v>
      </c>
      <c r="J131" s="8">
        <f t="shared" si="24"/>
        <v>64272</v>
      </c>
      <c r="K131" s="8">
        <f t="shared" si="24"/>
        <v>64272</v>
      </c>
      <c r="L131" s="8">
        <f t="shared" si="24"/>
        <v>64272</v>
      </c>
      <c r="M131" s="8">
        <f t="shared" si="24"/>
        <v>64272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2">
        <f>G134*EXP('Model Inputs'!H21)</f>
        <v>117.0535651311439</v>
      </c>
      <c r="I134" s="213">
        <f>H134*EXP('Model Inputs'!I21)</f>
        <v>118.91114870827467</v>
      </c>
      <c r="J134" s="213">
        <f>I134*EXP('Model Inputs'!J21)</f>
        <v>118.91114870827467</v>
      </c>
      <c r="K134" s="213">
        <f>J134*EXP('Model Inputs'!K21)</f>
        <v>118.91114870827467</v>
      </c>
      <c r="L134" s="213">
        <f>K134*EXP('Model Inputs'!L21)</f>
        <v>118.91114870827467</v>
      </c>
      <c r="M134" s="214">
        <f>L134*EXP('Model Inputs'!M21)</f>
        <v>118.91114870827467</v>
      </c>
      <c r="N134" s="219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275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1013.3851655047079</v>
      </c>
      <c r="J135" s="216">
        <f>I135*EXP('Model Inputs'!J20)</f>
        <v>1013.3851655047079</v>
      </c>
      <c r="K135" s="216">
        <f>J135*EXP('Model Inputs'!K20)</f>
        <v>1013.3851655047079</v>
      </c>
      <c r="L135" s="216">
        <f>K135*EXP('Model Inputs'!L20)</f>
        <v>1013.3851655047079</v>
      </c>
      <c r="M135" s="217">
        <f>L135*EXP('Model Inputs'!M20)</f>
        <v>1013.3851655047079</v>
      </c>
      <c r="N135" s="219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144.1249740007791</v>
      </c>
      <c r="H137" s="29">
        <f t="shared" ref="H137:M137" si="26">G137*EXP(H136)</f>
        <v>147.42975155552264</v>
      </c>
      <c r="I137" s="29">
        <f t="shared" si="26"/>
        <v>150.81030747388468</v>
      </c>
      <c r="J137" s="29">
        <f t="shared" si="26"/>
        <v>150.81030747388468</v>
      </c>
      <c r="K137" s="29">
        <f t="shared" si="26"/>
        <v>150.81030747388468</v>
      </c>
      <c r="L137" s="29">
        <f t="shared" si="26"/>
        <v>150.81030747388468</v>
      </c>
      <c r="M137" s="29">
        <f t="shared" si="26"/>
        <v>150.81030747388468</v>
      </c>
      <c r="N137" s="189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17.849773217599605</v>
      </c>
      <c r="I139" s="29">
        <f t="shared" si="27"/>
        <v>18.133040502516323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89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157</v>
      </c>
      <c r="H142" s="42">
        <f>'Model Inputs'!H16</f>
        <v>157</v>
      </c>
      <c r="I142" s="42">
        <f>'Model Inputs'!I16</f>
        <v>157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146.25000000000003</v>
      </c>
      <c r="H143" s="41">
        <f>(G143*14+H142)/15</f>
        <v>146.9666666666667</v>
      </c>
      <c r="I143" s="41">
        <f>(H143*15+I142)/16</f>
        <v>147.59375000000003</v>
      </c>
      <c r="J143" s="41">
        <f>(I143*16+J142)/17</f>
        <v>138.91176470588238</v>
      </c>
      <c r="K143" s="41">
        <f>(J143*17+K142)/18</f>
        <v>131.19444444444446</v>
      </c>
      <c r="L143" s="41">
        <f>(K143*17+L142)/18</f>
        <v>123.90586419753087</v>
      </c>
      <c r="M143" s="41">
        <f>(L143*17+M142)/18</f>
        <v>117.02220507544583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10555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0.10895310279488395</v>
      </c>
      <c r="H145" s="30">
        <f>'Model Inputs'!H17</f>
        <v>0.11274994181582287</v>
      </c>
      <c r="I145" s="30">
        <f>'Model Inputs'!I17</f>
        <v>0.1079480796684742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0.12439452961786175</v>
      </c>
      <c r="H152" s="44">
        <f t="shared" ref="H152:K152" si="31">H113/H137</f>
        <v>0.12107307398450921</v>
      </c>
      <c r="I152" s="44">
        <f t="shared" si="31"/>
        <v>0.12023740821333689</v>
      </c>
      <c r="J152" s="44">
        <f t="shared" si="31"/>
        <v>5.1234219941231646E-2</v>
      </c>
      <c r="K152" s="44">
        <f t="shared" si="31"/>
        <v>5.1234219941231646E-2</v>
      </c>
      <c r="L152" s="44">
        <f t="shared" ref="L152:M152" si="32">L113/L137</f>
        <v>5.1234219941231646E-2</v>
      </c>
      <c r="M152" s="44">
        <f t="shared" si="32"/>
        <v>5.1234219941231646E-2</v>
      </c>
      <c r="N152" s="194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11705</v>
      </c>
      <c r="H153" s="25">
        <f t="shared" ref="H153:K153" si="33">H96</f>
        <v>11855.3272856111</v>
      </c>
      <c r="I153" s="25">
        <f t="shared" si="33"/>
        <v>11907.134346085668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64272</v>
      </c>
      <c r="H154" s="25">
        <f t="shared" ref="H154:K154" si="35">H131</f>
        <v>64272</v>
      </c>
      <c r="I154" s="25">
        <f t="shared" si="35"/>
        <v>64272</v>
      </c>
      <c r="J154" s="25">
        <f t="shared" si="35"/>
        <v>64272</v>
      </c>
      <c r="K154" s="25">
        <f t="shared" si="35"/>
        <v>64272</v>
      </c>
      <c r="L154" s="25">
        <f t="shared" ref="L154:M154" si="36">L131</f>
        <v>64272</v>
      </c>
      <c r="M154" s="25">
        <f t="shared" si="36"/>
        <v>64272</v>
      </c>
      <c r="N154" s="190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239982794</v>
      </c>
      <c r="H155" s="39">
        <f t="shared" ref="H155:K155" si="37">H97</f>
        <v>240605421.22847885</v>
      </c>
      <c r="I155" s="39">
        <f t="shared" si="37"/>
        <v>237144707.23389372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146.25000000000003</v>
      </c>
      <c r="H156" s="45">
        <f t="shared" ref="H156:K156" si="39">H143</f>
        <v>146.9666666666667</v>
      </c>
      <c r="I156" s="45">
        <f t="shared" si="39"/>
        <v>147.59375000000003</v>
      </c>
      <c r="J156" s="45">
        <f t="shared" si="39"/>
        <v>138.91176470588238</v>
      </c>
      <c r="K156" s="45">
        <f t="shared" si="39"/>
        <v>131.19444444444446</v>
      </c>
      <c r="L156" s="45">
        <f t="shared" ref="L156:M156" si="40">L143</f>
        <v>123.90586419753087</v>
      </c>
      <c r="M156" s="45">
        <f t="shared" si="40"/>
        <v>117.02220507544583</v>
      </c>
      <c r="N156" s="195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0.10895310279488395</v>
      </c>
      <c r="H157" s="31">
        <f t="shared" ref="H157:L157" si="41">H145</f>
        <v>0.11274994181582287</v>
      </c>
      <c r="I157" s="31">
        <f t="shared" si="41"/>
        <v>0.1079480796684742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12.811148202512005</v>
      </c>
      <c r="H162" s="49">
        <f t="shared" ref="H162:M179" si="45">G162</f>
        <v>12.811148202512005</v>
      </c>
      <c r="I162" s="49">
        <f t="shared" si="45"/>
        <v>12.811148202512005</v>
      </c>
      <c r="J162" s="49">
        <f t="shared" si="45"/>
        <v>12.811148202512005</v>
      </c>
      <c r="K162" s="49">
        <f t="shared" si="45"/>
        <v>12.811148202512005</v>
      </c>
      <c r="L162" s="49">
        <f t="shared" si="45"/>
        <v>12.811148202512005</v>
      </c>
      <c r="M162" s="49">
        <f t="shared" si="45"/>
        <v>12.811148202512005</v>
      </c>
      <c r="N162" s="196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0.62748695413763633</v>
      </c>
      <c r="H163" s="49">
        <f t="shared" si="45"/>
        <v>0.62748695413763633</v>
      </c>
      <c r="I163" s="49">
        <f t="shared" si="45"/>
        <v>0.62748695413763633</v>
      </c>
      <c r="J163" s="49">
        <f t="shared" si="45"/>
        <v>0.62748695413763633</v>
      </c>
      <c r="K163" s="49">
        <f t="shared" si="45"/>
        <v>0.62748695413763633</v>
      </c>
      <c r="L163" s="49">
        <f t="shared" si="45"/>
        <v>0.62748695413763633</v>
      </c>
      <c r="M163" s="49">
        <f t="shared" si="45"/>
        <v>0.62748695413763633</v>
      </c>
      <c r="N163" s="196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0.44313835605104801</v>
      </c>
      <c r="H164" s="49">
        <f t="shared" si="45"/>
        <v>0.44313835605104801</v>
      </c>
      <c r="I164" s="49">
        <f t="shared" si="45"/>
        <v>0.44313835605104801</v>
      </c>
      <c r="J164" s="49">
        <f t="shared" si="45"/>
        <v>0.44313835605104801</v>
      </c>
      <c r="K164" s="49">
        <f t="shared" si="45"/>
        <v>0.44313835605104801</v>
      </c>
      <c r="L164" s="49">
        <f t="shared" si="45"/>
        <v>0.44313835605104801</v>
      </c>
      <c r="M164" s="49">
        <f t="shared" si="45"/>
        <v>0.44313835605104801</v>
      </c>
      <c r="N164" s="196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0.16819202909035297</v>
      </c>
      <c r="H165" s="49">
        <f t="shared" si="45"/>
        <v>0.16819202909035297</v>
      </c>
      <c r="I165" s="49">
        <f t="shared" si="45"/>
        <v>0.16819202909035297</v>
      </c>
      <c r="J165" s="49">
        <f t="shared" si="45"/>
        <v>0.16819202909035297</v>
      </c>
      <c r="K165" s="49">
        <f t="shared" si="45"/>
        <v>0.16819202909035297</v>
      </c>
      <c r="L165" s="49">
        <f t="shared" si="45"/>
        <v>0.16819202909035297</v>
      </c>
      <c r="M165" s="49">
        <f t="shared" si="45"/>
        <v>0.16819202909035297</v>
      </c>
      <c r="N165" s="196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0.1018364785179439</v>
      </c>
      <c r="H166" s="49">
        <f t="shared" si="45"/>
        <v>0.1018364785179439</v>
      </c>
      <c r="I166" s="49">
        <f t="shared" si="45"/>
        <v>0.1018364785179439</v>
      </c>
      <c r="J166" s="49">
        <f t="shared" si="45"/>
        <v>0.1018364785179439</v>
      </c>
      <c r="K166" s="49">
        <f t="shared" si="45"/>
        <v>0.1018364785179439</v>
      </c>
      <c r="L166" s="49">
        <f t="shared" si="45"/>
        <v>0.1018364785179439</v>
      </c>
      <c r="M166" s="49">
        <f t="shared" si="45"/>
        <v>0.1018364785179439</v>
      </c>
      <c r="N166" s="196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0.12870964222518633</v>
      </c>
      <c r="H167" s="49">
        <f t="shared" si="45"/>
        <v>0.12870964222518633</v>
      </c>
      <c r="I167" s="49">
        <f t="shared" si="45"/>
        <v>0.12870964222518633</v>
      </c>
      <c r="J167" s="49">
        <f t="shared" si="45"/>
        <v>0.12870964222518633</v>
      </c>
      <c r="K167" s="49">
        <f t="shared" si="45"/>
        <v>0.12870964222518633</v>
      </c>
      <c r="L167" s="49">
        <f t="shared" si="45"/>
        <v>0.12870964222518633</v>
      </c>
      <c r="M167" s="49">
        <f t="shared" si="45"/>
        <v>0.12870964222518633</v>
      </c>
      <c r="N167" s="196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-0.39218484854447522</v>
      </c>
      <c r="H168" s="49">
        <f t="shared" si="45"/>
        <v>-0.39218484854447522</v>
      </c>
      <c r="I168" s="49">
        <f t="shared" si="45"/>
        <v>-0.39218484854447522</v>
      </c>
      <c r="J168" s="49">
        <f t="shared" si="45"/>
        <v>-0.39218484854447522</v>
      </c>
      <c r="K168" s="49">
        <f t="shared" si="45"/>
        <v>-0.39218484854447522</v>
      </c>
      <c r="L168" s="49">
        <f t="shared" si="45"/>
        <v>-0.39218484854447522</v>
      </c>
      <c r="M168" s="49">
        <f t="shared" si="45"/>
        <v>-0.39218484854447522</v>
      </c>
      <c r="N168" s="196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0.16958826570242688</v>
      </c>
      <c r="H169" s="49">
        <f t="shared" si="45"/>
        <v>0.16958826570242688</v>
      </c>
      <c r="I169" s="49">
        <f t="shared" si="45"/>
        <v>0.16958826570242688</v>
      </c>
      <c r="J169" s="49">
        <f t="shared" si="45"/>
        <v>0.16958826570242688</v>
      </c>
      <c r="K169" s="49">
        <f t="shared" si="45"/>
        <v>0.16958826570242688</v>
      </c>
      <c r="L169" s="49">
        <f t="shared" si="45"/>
        <v>0.16958826570242688</v>
      </c>
      <c r="M169" s="49">
        <f t="shared" si="45"/>
        <v>0.16958826570242688</v>
      </c>
      <c r="N169" s="196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0.15529711493754556</v>
      </c>
      <c r="H170" s="49">
        <f t="shared" si="45"/>
        <v>0.15529711493754556</v>
      </c>
      <c r="I170" s="49">
        <f t="shared" si="45"/>
        <v>0.15529711493754556</v>
      </c>
      <c r="J170" s="49">
        <f t="shared" si="45"/>
        <v>0.15529711493754556</v>
      </c>
      <c r="K170" s="49">
        <f t="shared" si="45"/>
        <v>0.15529711493754556</v>
      </c>
      <c r="L170" s="49">
        <f t="shared" si="45"/>
        <v>0.15529711493754556</v>
      </c>
      <c r="M170" s="49">
        <f t="shared" si="45"/>
        <v>0.15529711493754556</v>
      </c>
      <c r="N170" s="196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5.4182273542130122E-2</v>
      </c>
      <c r="H171" s="49">
        <f t="shared" si="45"/>
        <v>5.4182273542130122E-2</v>
      </c>
      <c r="I171" s="49">
        <f t="shared" si="45"/>
        <v>5.4182273542130122E-2</v>
      </c>
      <c r="J171" s="49">
        <f t="shared" si="45"/>
        <v>5.4182273542130122E-2</v>
      </c>
      <c r="K171" s="49">
        <f t="shared" si="45"/>
        <v>5.4182273542130122E-2</v>
      </c>
      <c r="L171" s="49">
        <f t="shared" si="45"/>
        <v>5.4182273542130122E-2</v>
      </c>
      <c r="M171" s="49">
        <f t="shared" si="45"/>
        <v>5.4182273542130122E-2</v>
      </c>
      <c r="N171" s="196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9.5944400375493899E-3</v>
      </c>
      <c r="H172" s="49">
        <f t="shared" si="45"/>
        <v>9.5944400375493899E-3</v>
      </c>
      <c r="I172" s="49">
        <f t="shared" si="45"/>
        <v>9.5944400375493899E-3</v>
      </c>
      <c r="J172" s="49">
        <f t="shared" si="45"/>
        <v>9.5944400375493899E-3</v>
      </c>
      <c r="K172" s="49">
        <f t="shared" si="45"/>
        <v>9.5944400375493899E-3</v>
      </c>
      <c r="L172" s="49">
        <f t="shared" si="45"/>
        <v>9.5944400375493899E-3</v>
      </c>
      <c r="M172" s="49">
        <f t="shared" si="45"/>
        <v>9.5944400375493899E-3</v>
      </c>
      <c r="N172" s="196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3.4373713503621506E-5</v>
      </c>
      <c r="H173" s="49">
        <f t="shared" si="45"/>
        <v>3.4373713503621506E-5</v>
      </c>
      <c r="I173" s="49">
        <f t="shared" si="45"/>
        <v>3.4373713503621506E-5</v>
      </c>
      <c r="J173" s="49">
        <f t="shared" si="45"/>
        <v>3.4373713503621506E-5</v>
      </c>
      <c r="K173" s="49">
        <f t="shared" si="45"/>
        <v>3.4373713503621506E-5</v>
      </c>
      <c r="L173" s="49">
        <f t="shared" si="45"/>
        <v>3.4373713503621506E-5</v>
      </c>
      <c r="M173" s="49">
        <f t="shared" si="45"/>
        <v>3.4373713503621506E-5</v>
      </c>
      <c r="N173" s="196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0.15457317439348905</v>
      </c>
      <c r="H174" s="49">
        <f t="shared" si="45"/>
        <v>0.15457317439348905</v>
      </c>
      <c r="I174" s="49">
        <f t="shared" si="45"/>
        <v>0.15457317439348905</v>
      </c>
      <c r="J174" s="49">
        <f t="shared" si="45"/>
        <v>0.15457317439348905</v>
      </c>
      <c r="K174" s="49">
        <f t="shared" si="45"/>
        <v>0.15457317439348905</v>
      </c>
      <c r="L174" s="49">
        <f t="shared" si="45"/>
        <v>0.15457317439348905</v>
      </c>
      <c r="M174" s="49">
        <f t="shared" si="45"/>
        <v>0.15457317439348905</v>
      </c>
      <c r="N174" s="196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6.6071035432867714E-2</v>
      </c>
      <c r="H175" s="49">
        <f t="shared" si="45"/>
        <v>6.6071035432867714E-2</v>
      </c>
      <c r="I175" s="49">
        <f t="shared" si="45"/>
        <v>6.6071035432867714E-2</v>
      </c>
      <c r="J175" s="49">
        <f t="shared" si="45"/>
        <v>6.6071035432867714E-2</v>
      </c>
      <c r="K175" s="49">
        <f t="shared" si="45"/>
        <v>6.6071035432867714E-2</v>
      </c>
      <c r="L175" s="49">
        <f t="shared" si="45"/>
        <v>6.6071035432867714E-2</v>
      </c>
      <c r="M175" s="49">
        <f t="shared" si="45"/>
        <v>6.6071035432867714E-2</v>
      </c>
      <c r="N175" s="196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-0.18794898767840035</v>
      </c>
      <c r="H176" s="49">
        <f t="shared" si="45"/>
        <v>-0.18794898767840035</v>
      </c>
      <c r="I176" s="49">
        <f t="shared" si="45"/>
        <v>-0.18794898767840035</v>
      </c>
      <c r="J176" s="49">
        <f t="shared" si="45"/>
        <v>-0.18794898767840035</v>
      </c>
      <c r="K176" s="49">
        <f t="shared" si="45"/>
        <v>-0.18794898767840035</v>
      </c>
      <c r="L176" s="49">
        <f t="shared" si="45"/>
        <v>-0.18794898767840035</v>
      </c>
      <c r="M176" s="49">
        <f t="shared" si="45"/>
        <v>-0.18794898767840035</v>
      </c>
      <c r="N176" s="196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0.2816386059607896</v>
      </c>
      <c r="H177" s="49">
        <f t="shared" si="45"/>
        <v>0.2816386059607896</v>
      </c>
      <c r="I177" s="49">
        <f t="shared" si="45"/>
        <v>0.2816386059607896</v>
      </c>
      <c r="J177" s="49">
        <f t="shared" si="45"/>
        <v>0.2816386059607896</v>
      </c>
      <c r="K177" s="49">
        <f t="shared" si="45"/>
        <v>0.2816386059607896</v>
      </c>
      <c r="L177" s="49">
        <f t="shared" si="45"/>
        <v>0.2816386059607896</v>
      </c>
      <c r="M177" s="49">
        <f t="shared" si="45"/>
        <v>0.2816386059607896</v>
      </c>
      <c r="N177" s="196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1.6568226227378101E-2</v>
      </c>
      <c r="H178" s="49">
        <f t="shared" si="45"/>
        <v>1.6568226227378101E-2</v>
      </c>
      <c r="I178" s="49">
        <f t="shared" si="45"/>
        <v>1.6568226227378101E-2</v>
      </c>
      <c r="J178" s="49">
        <f t="shared" si="45"/>
        <v>1.6568226227378101E-2</v>
      </c>
      <c r="K178" s="49">
        <f t="shared" si="45"/>
        <v>1.6568226227378101E-2</v>
      </c>
      <c r="L178" s="49">
        <f t="shared" si="45"/>
        <v>1.6568226227378101E-2</v>
      </c>
      <c r="M178" s="49">
        <f t="shared" si="45"/>
        <v>1.6568226227378101E-2</v>
      </c>
      <c r="N178" s="196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1.720622198906013E-2</v>
      </c>
      <c r="H179" s="49">
        <f t="shared" si="45"/>
        <v>1.720622198906013E-2</v>
      </c>
      <c r="I179" s="49">
        <f t="shared" si="45"/>
        <v>1.720622198906013E-2</v>
      </c>
      <c r="J179" s="49">
        <f t="shared" si="45"/>
        <v>1.720622198906013E-2</v>
      </c>
      <c r="K179" s="49">
        <f t="shared" si="45"/>
        <v>1.720622198906013E-2</v>
      </c>
      <c r="L179" s="49">
        <f t="shared" si="45"/>
        <v>1.720622198906013E-2</v>
      </c>
      <c r="M179" s="49">
        <f t="shared" si="45"/>
        <v>1.720622198906013E-2</v>
      </c>
      <c r="N179" s="196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6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-0.27884427741683504</v>
      </c>
      <c r="H206" s="48">
        <f t="shared" ref="H206:K209" si="49">LN(H152/H184)</f>
        <v>-0.3059082020826121</v>
      </c>
      <c r="I206" s="48">
        <f t="shared" si="49"/>
        <v>-0.31283429252164385</v>
      </c>
      <c r="J206" s="48">
        <f t="shared" si="49"/>
        <v>-1.1658948156013274</v>
      </c>
      <c r="K206" s="48">
        <f t="shared" si="49"/>
        <v>-1.1658948156013274</v>
      </c>
      <c r="L206" s="48">
        <f t="shared" ref="L206:M206" si="50">LN(L152/L184)</f>
        <v>-1.1658948156013274</v>
      </c>
      <c r="M206" s="48">
        <f t="shared" si="50"/>
        <v>-1.1658948156013274</v>
      </c>
      <c r="N206" s="197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-1.6897996197262346</v>
      </c>
      <c r="H207" s="48">
        <f t="shared" si="49"/>
        <v>-1.6770383941425933</v>
      </c>
      <c r="I207" s="48">
        <f t="shared" si="49"/>
        <v>-1.6726779753137211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-1.6807942248728724</v>
      </c>
      <c r="H208" s="48">
        <f t="shared" si="49"/>
        <v>-1.6807942248728724</v>
      </c>
      <c r="I208" s="48">
        <f t="shared" si="49"/>
        <v>-1.6807942248728724</v>
      </c>
      <c r="J208" s="48">
        <f t="shared" si="49"/>
        <v>-1.6807942248728724</v>
      </c>
      <c r="K208" s="48">
        <f t="shared" si="49"/>
        <v>-1.6807942248728724</v>
      </c>
      <c r="L208" s="48">
        <f t="shared" ref="L208:M208" si="52">LN(L154/L186)</f>
        <v>-1.6807942248728724</v>
      </c>
      <c r="M208" s="48">
        <f t="shared" si="52"/>
        <v>-1.6807942248728724</v>
      </c>
      <c r="N208" s="197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-1.9159692678044684</v>
      </c>
      <c r="H209" s="48">
        <f t="shared" si="49"/>
        <v>-1.9133781615013974</v>
      </c>
      <c r="I209" s="48">
        <f t="shared" si="49"/>
        <v>-1.9278659630562707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3.8877065524058431E-2</v>
      </c>
      <c r="H210" s="48">
        <f t="shared" ref="H210:K213" si="54">H206*H206/2</f>
        <v>4.678991405070812E-2</v>
      </c>
      <c r="I210" s="48">
        <f t="shared" si="54"/>
        <v>4.8932647288758714E-2</v>
      </c>
      <c r="J210" s="48">
        <f t="shared" si="54"/>
        <v>0.67965536052302655</v>
      </c>
      <c r="K210" s="48">
        <f t="shared" si="54"/>
        <v>0.67965536052302655</v>
      </c>
      <c r="L210" s="48">
        <f t="shared" ref="L210:M210" si="55">L206*L206/2</f>
        <v>0.67965536052302655</v>
      </c>
      <c r="M210" s="48">
        <f t="shared" si="55"/>
        <v>0.67965536052302655</v>
      </c>
      <c r="N210" s="197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1.4277113774134635</v>
      </c>
      <c r="H211" s="48">
        <f t="shared" si="54"/>
        <v>1.406228887714184</v>
      </c>
      <c r="I211" s="48">
        <f t="shared" si="54"/>
        <v>1.3989258045498048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1.4125346131830001</v>
      </c>
      <c r="H212" s="48">
        <f t="shared" si="54"/>
        <v>1.4125346131830001</v>
      </c>
      <c r="I212" s="48">
        <f t="shared" si="54"/>
        <v>1.4125346131830001</v>
      </c>
      <c r="J212" s="48">
        <f t="shared" si="54"/>
        <v>1.4125346131830001</v>
      </c>
      <c r="K212" s="48">
        <f t="shared" si="54"/>
        <v>1.4125346131830001</v>
      </c>
      <c r="L212" s="48">
        <f t="shared" ref="L212:M212" si="57">L208*L208/2</f>
        <v>1.4125346131830001</v>
      </c>
      <c r="M212" s="48">
        <f t="shared" si="57"/>
        <v>1.4125346131830001</v>
      </c>
      <c r="N212" s="197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1.8354691175855955</v>
      </c>
      <c r="H213" s="48">
        <f t="shared" si="54"/>
        <v>1.8305079944552338</v>
      </c>
      <c r="I213" s="48">
        <f t="shared" si="54"/>
        <v>1.8583335857554411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0.47119095394180449</v>
      </c>
      <c r="H214" s="48">
        <f t="shared" ref="H214:K214" si="59">H206*H207</f>
        <v>0.51301979997567171</v>
      </c>
      <c r="I214" s="48">
        <f t="shared" si="59"/>
        <v>0.52327103102380357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0.46867985112106547</v>
      </c>
      <c r="H215" s="48">
        <f t="shared" ref="H215:K215" si="61">H206*H208</f>
        <v>0.51416873940169805</v>
      </c>
      <c r="I215" s="48">
        <f t="shared" si="61"/>
        <v>0.52581007221256981</v>
      </c>
      <c r="J215" s="48">
        <f t="shared" si="61"/>
        <v>1.9596292728719336</v>
      </c>
      <c r="K215" s="48">
        <f t="shared" si="61"/>
        <v>1.9596292728719336</v>
      </c>
      <c r="L215" s="48">
        <f t="shared" ref="L215:M215" si="62">L206*L208</f>
        <v>1.9596292728719336</v>
      </c>
      <c r="M215" s="48">
        <f t="shared" si="62"/>
        <v>1.9596292728719336</v>
      </c>
      <c r="N215" s="197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0.53425706603379952</v>
      </c>
      <c r="H216" s="48">
        <f t="shared" ref="H216:K216" si="63">H206*H209</f>
        <v>0.5853180732890263</v>
      </c>
      <c r="I216" s="48">
        <f t="shared" si="63"/>
        <v>0.60310258462926603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2.840205442028231</v>
      </c>
      <c r="H217" s="48">
        <f t="shared" ref="H217:K217" si="65">H207*H208</f>
        <v>2.8187564477649469</v>
      </c>
      <c r="I217" s="48">
        <f t="shared" si="65"/>
        <v>2.8114274809793516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3.237604140143143</v>
      </c>
      <c r="H218" s="48">
        <f t="shared" ref="H218:K218" si="67">H207*H209</f>
        <v>3.2088086393518109</v>
      </c>
      <c r="I218" s="48">
        <f t="shared" si="67"/>
        <v>3.2246989357611997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3.2203500803596565</v>
      </c>
      <c r="H219" s="48">
        <f t="shared" ref="H219:K219" si="69">H208*H209</f>
        <v>3.2159949638494232</v>
      </c>
      <c r="I219" s="48">
        <f t="shared" si="69"/>
        <v>3.2403459770339582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-2.9240978209235848</v>
      </c>
      <c r="H220" s="48">
        <f t="shared" ref="H220:K220" si="71">LN(H156/H198)</f>
        <v>-2.9192095033397685</v>
      </c>
      <c r="I220" s="48">
        <f t="shared" si="71"/>
        <v>-2.91495173993916</v>
      </c>
      <c r="J220" s="48">
        <f t="shared" si="71"/>
        <v>-2.975576361755595</v>
      </c>
      <c r="K220" s="48">
        <f t="shared" si="71"/>
        <v>-3.0327347755955438</v>
      </c>
      <c r="L220" s="48">
        <f t="shared" ref="L220:M220" si="72">LN(L156/L198)</f>
        <v>-3.0898931894354922</v>
      </c>
      <c r="M220" s="48">
        <f t="shared" si="72"/>
        <v>-3.147051603275441</v>
      </c>
      <c r="N220" s="197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0.84722474957141491</v>
      </c>
      <c r="H221" s="31">
        <f t="shared" ref="H221:K221" si="73">H157/H199</f>
        <v>0.8767491587544548</v>
      </c>
      <c r="I221" s="31">
        <f t="shared" si="73"/>
        <v>0.8394096397237496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12.811148202512005</v>
      </c>
      <c r="H226" s="50">
        <f t="shared" ref="H226:K241" si="78">H162*H205</f>
        <v>12.811148202512005</v>
      </c>
      <c r="I226" s="50">
        <f t="shared" si="78"/>
        <v>12.811148202512005</v>
      </c>
      <c r="J226" s="50">
        <f t="shared" si="78"/>
        <v>12.811148202512005</v>
      </c>
      <c r="K226" s="50">
        <f t="shared" si="78"/>
        <v>12.811148202512005</v>
      </c>
      <c r="L226" s="50">
        <f t="shared" ref="L226:M226" si="79">L162*L205</f>
        <v>12.811148202512005</v>
      </c>
      <c r="M226" s="50">
        <f t="shared" si="79"/>
        <v>12.811148202512005</v>
      </c>
      <c r="N226" s="198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-0.17497114631499991</v>
      </c>
      <c r="H227" s="50">
        <f t="shared" si="78"/>
        <v>-0.19195340597053881</v>
      </c>
      <c r="I227" s="50">
        <f t="shared" si="78"/>
        <v>-0.19629943736420866</v>
      </c>
      <c r="J227" s="50">
        <f t="shared" si="78"/>
        <v>-0.73158378668653812</v>
      </c>
      <c r="K227" s="50">
        <f t="shared" si="78"/>
        <v>-0.73158378668653812</v>
      </c>
      <c r="L227" s="50">
        <f t="shared" ref="L227:M227" si="80">L163*L206</f>
        <v>-0.73158378668653812</v>
      </c>
      <c r="M227" s="50">
        <f t="shared" si="80"/>
        <v>-0.73158378668653812</v>
      </c>
      <c r="N227" s="198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-0.74881502554116963</v>
      </c>
      <c r="H228" s="50">
        <f t="shared" si="78"/>
        <v>-0.74316003701483824</v>
      </c>
      <c r="I228" s="50">
        <f t="shared" si="78"/>
        <v>-0.74122776818331781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-0.28269619116471545</v>
      </c>
      <c r="H229" s="50">
        <f t="shared" si="78"/>
        <v>-0.28269619116471545</v>
      </c>
      <c r="I229" s="50">
        <f t="shared" si="78"/>
        <v>-0.28269619116471545</v>
      </c>
      <c r="J229" s="50">
        <f t="shared" si="78"/>
        <v>-0.28269619116471545</v>
      </c>
      <c r="K229" s="50">
        <f t="shared" si="78"/>
        <v>-0.28269619116471545</v>
      </c>
      <c r="L229" s="50">
        <f t="shared" ref="L229:M229" si="82">L165*L208</f>
        <v>-0.28269619116471545</v>
      </c>
      <c r="M229" s="50">
        <f t="shared" si="82"/>
        <v>-0.28269619116471545</v>
      </c>
      <c r="N229" s="198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-0.19511556318181045</v>
      </c>
      <c r="H230" s="50">
        <f t="shared" si="78"/>
        <v>-0.19485169404044006</v>
      </c>
      <c r="I230" s="50">
        <f t="shared" si="78"/>
        <v>-0.19632708073225513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5.0038531943666868E-3</v>
      </c>
      <c r="H231" s="50">
        <f t="shared" si="78"/>
        <v>6.0223130972138607E-3</v>
      </c>
      <c r="I231" s="50">
        <f t="shared" si="78"/>
        <v>6.2981035256673675E-3</v>
      </c>
      <c r="J231" s="50">
        <f t="shared" si="78"/>
        <v>8.7478198289348774E-2</v>
      </c>
      <c r="K231" s="50">
        <f t="shared" si="78"/>
        <v>8.7478198289348774E-2</v>
      </c>
      <c r="L231" s="50">
        <f t="shared" ref="L231:M231" si="84">L167*L210</f>
        <v>8.7478198289348774E-2</v>
      </c>
      <c r="M231" s="50">
        <f t="shared" si="84"/>
        <v>8.7478198289348774E-2</v>
      </c>
      <c r="N231" s="198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-0.55992677031612326</v>
      </c>
      <c r="H232" s="50">
        <f t="shared" si="78"/>
        <v>-0.55150166334705308</v>
      </c>
      <c r="I232" s="50">
        <f t="shared" si="78"/>
        <v>-0.54863750478232332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0.2395492952943534</v>
      </c>
      <c r="H233" s="50">
        <f t="shared" si="78"/>
        <v>0.2395492952943534</v>
      </c>
      <c r="I233" s="50">
        <f t="shared" si="78"/>
        <v>0.2395492952943534</v>
      </c>
      <c r="J233" s="50">
        <f t="shared" si="78"/>
        <v>0.2395492952943534</v>
      </c>
      <c r="K233" s="50">
        <f t="shared" si="78"/>
        <v>0.2395492952943534</v>
      </c>
      <c r="L233" s="50">
        <f t="shared" ref="L233:M233" si="86">L169*L212</f>
        <v>0.2395492952943534</v>
      </c>
      <c r="M233" s="50">
        <f t="shared" si="86"/>
        <v>0.2395492952943534</v>
      </c>
      <c r="N233" s="198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0.28504305851800554</v>
      </c>
      <c r="H234" s="50">
        <f t="shared" si="78"/>
        <v>0.28427261040901047</v>
      </c>
      <c r="I234" s="50">
        <f t="shared" si="78"/>
        <v>0.28859384445936392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2.5530197157052088E-2</v>
      </c>
      <c r="H235" s="50">
        <f t="shared" si="78"/>
        <v>2.7796579134810723E-2</v>
      </c>
      <c r="I235" s="50">
        <f t="shared" si="78"/>
        <v>2.8352014139604181E-2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4.4967207283886377E-3</v>
      </c>
      <c r="H236" s="50">
        <f t="shared" si="78"/>
        <v>4.9331611393719499E-3</v>
      </c>
      <c r="I236" s="50">
        <f t="shared" si="78"/>
        <v>5.044853208983016E-3</v>
      </c>
      <c r="J236" s="50">
        <f t="shared" si="78"/>
        <v>1.8801545554396278E-2</v>
      </c>
      <c r="K236" s="50">
        <f t="shared" si="78"/>
        <v>1.8801545554396278E-2</v>
      </c>
      <c r="L236" s="50">
        <f t="shared" ref="L236:M236" si="89">L172*L215</f>
        <v>1.8801545554396278E-2</v>
      </c>
      <c r="M236" s="50">
        <f t="shared" si="89"/>
        <v>1.8801545554396278E-2</v>
      </c>
      <c r="N236" s="198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1.8364399325131222E-5</v>
      </c>
      <c r="H237" s="50">
        <f t="shared" si="78"/>
        <v>2.0119555759728726E-5</v>
      </c>
      <c r="I237" s="50">
        <f t="shared" si="78"/>
        <v>2.0730875457340034E-5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0.43901957110396644</v>
      </c>
      <c r="H238" s="50">
        <f t="shared" si="78"/>
        <v>0.43570413197314284</v>
      </c>
      <c r="I238" s="50">
        <f t="shared" si="78"/>
        <v>0.43457127031206894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0.21391185786099681</v>
      </c>
      <c r="H239" s="50">
        <f t="shared" si="78"/>
        <v>0.21200930930790554</v>
      </c>
      <c r="I239" s="50">
        <f t="shared" si="78"/>
        <v>0.21305919764500902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-0.60526153757365264</v>
      </c>
      <c r="H240" s="50">
        <f t="shared" si="78"/>
        <v>-0.60444299783433286</v>
      </c>
      <c r="I240" s="50">
        <f t="shared" si="78"/>
        <v>-0.6090197461113096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-0.82353883397790106</v>
      </c>
      <c r="H241" s="50">
        <f t="shared" si="78"/>
        <v>-0.82216209502810134</v>
      </c>
      <c r="I241" s="50">
        <f t="shared" si="78"/>
        <v>-0.82096294447944318</v>
      </c>
      <c r="J241" s="50">
        <f t="shared" si="78"/>
        <v>-0.83803717845472392</v>
      </c>
      <c r="K241" s="50">
        <f t="shared" si="78"/>
        <v>-0.85413519444753705</v>
      </c>
      <c r="L241" s="50">
        <f t="shared" ref="L241:M241" si="94">L177*L220</f>
        <v>-0.87023321044034996</v>
      </c>
      <c r="M241" s="50">
        <f t="shared" si="94"/>
        <v>-0.88633122643316309</v>
      </c>
      <c r="N241" s="198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1.403701131633296E-2</v>
      </c>
      <c r="H242" s="50">
        <f t="shared" ref="H242:K243" si="95">H178*H221</f>
        <v>1.4526178406907245E-2</v>
      </c>
      <c r="I242" s="50">
        <f t="shared" si="95"/>
        <v>1.3907528808385031E-2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0.15485599790154117</v>
      </c>
      <c r="H243" s="50">
        <f t="shared" si="95"/>
        <v>0.1720622198906013</v>
      </c>
      <c r="I243" s="50">
        <f t="shared" si="95"/>
        <v>0.18926844187966144</v>
      </c>
      <c r="J243" s="50">
        <f t="shared" si="95"/>
        <v>0.20647466386872154</v>
      </c>
      <c r="K243" s="50">
        <f t="shared" si="95"/>
        <v>0.22368088585778167</v>
      </c>
      <c r="L243" s="50">
        <f t="shared" ref="L243:M243" si="97">L179*L222</f>
        <v>0.24088710784684181</v>
      </c>
      <c r="M243" s="50">
        <f t="shared" si="97"/>
        <v>0.25809332983590194</v>
      </c>
      <c r="N243" s="198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10.80228906191596</v>
      </c>
      <c r="H245" s="44">
        <f t="shared" ref="H245:K245" si="98">SUM(H226:H243)</f>
        <v>10.817276036321061</v>
      </c>
      <c r="I245" s="44">
        <f t="shared" si="98"/>
        <v>10.834642809842984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49133.141313109591</v>
      </c>
      <c r="H246" s="8">
        <f t="shared" ref="H246:K246" si="100">EXP(H245)</f>
        <v>49875.043996198132</v>
      </c>
      <c r="I246" s="8">
        <f t="shared" si="100"/>
        <v>50748.777596373853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144.1249740007791</v>
      </c>
      <c r="H247" s="21">
        <f t="shared" ref="H247:K247" si="102">H137</f>
        <v>147.42975155552264</v>
      </c>
      <c r="I247" s="21">
        <f t="shared" si="102"/>
        <v>150.81030747388468</v>
      </c>
      <c r="J247" s="21">
        <f t="shared" si="102"/>
        <v>150.81030747388468</v>
      </c>
      <c r="K247" s="21">
        <f t="shared" si="102"/>
        <v>150.81030747388468</v>
      </c>
      <c r="L247" s="21">
        <f t="shared" ref="L247:M247" si="103">L137</f>
        <v>150.81030747388468</v>
      </c>
      <c r="M247" s="21">
        <f t="shared" si="103"/>
        <v>150.81030747388468</v>
      </c>
      <c r="N247" s="189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7081312.7143285256</v>
      </c>
      <c r="H248" s="8">
        <f t="shared" ref="H248:K248" si="104">H246*H247</f>
        <v>7353065.3451802516</v>
      </c>
      <c r="I248" s="8">
        <f t="shared" si="104"/>
        <v>7653438.7532329308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5004632.1523369774</v>
      </c>
      <c r="H256" s="60">
        <f t="shared" ref="H256:K256" si="107">H121</f>
        <v>5611885.7478958312</v>
      </c>
      <c r="I256" s="60">
        <f t="shared" si="107"/>
        <v>6204009.2188613387</v>
      </c>
      <c r="J256" s="60">
        <f t="shared" si="107"/>
        <v>1004370.7169020451</v>
      </c>
      <c r="K256" s="60">
        <f t="shared" si="107"/>
        <v>958270.10099624121</v>
      </c>
      <c r="L256" s="60">
        <f t="shared" ref="L256:M256" si="108">L121</f>
        <v>914285.50336051371</v>
      </c>
      <c r="M256" s="60">
        <f t="shared" si="108"/>
        <v>872319.79875626613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7081312.7143285256</v>
      </c>
      <c r="H257" s="60">
        <f t="shared" ref="H257:K257" si="110">H248</f>
        <v>7353065.3451802516</v>
      </c>
      <c r="I257" s="60">
        <f t="shared" si="110"/>
        <v>7653438.7532329308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-2076680.5619915482</v>
      </c>
      <c r="H258" s="25">
        <f t="shared" ref="H258:K258" si="113">H256-H257</f>
        <v>-1741179.5972844204</v>
      </c>
      <c r="I258" s="25">
        <f t="shared" si="113"/>
        <v>-1449429.5343715921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0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-0.2932620893566153</v>
      </c>
      <c r="H259" s="61">
        <f t="shared" ref="H259:K259" si="116">H258/H257</f>
        <v>-0.23679642646256632</v>
      </c>
      <c r="I259" s="61">
        <f t="shared" si="116"/>
        <v>-0.1893827834918429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-0.34709538811768975</v>
      </c>
      <c r="H261" s="64">
        <f t="shared" ref="H261:K261" si="118">LN(H256/H257)</f>
        <v>-0.27023047655106414</v>
      </c>
      <c r="I261" s="64">
        <f t="shared" si="118"/>
        <v>-0.20995932579788801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opLeftCell="A7" workbookViewId="0">
      <selection activeCell="F10" sqref="F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25">
      <c r="C3" s="233" t="str">
        <f>'Model Inputs'!F5</f>
        <v>E.L.K. Energy Inc.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183</v>
      </c>
      <c r="G7" s="14" t="s">
        <v>184</v>
      </c>
      <c r="H7" s="14" t="s">
        <v>185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5004632.1523369774</v>
      </c>
      <c r="G10" s="86">
        <f>'Benchmarking Calculations'!H121</f>
        <v>5611885.7478958312</v>
      </c>
      <c r="H10" s="86">
        <f>'Benchmarking Calculations'!I121</f>
        <v>6204009.2188613387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7081312.7143285256</v>
      </c>
      <c r="G12" s="86">
        <f>'Benchmarking Calculations'!H257</f>
        <v>7353065.3451802516</v>
      </c>
      <c r="H12" s="86">
        <f>'Benchmarking Calculations'!I257</f>
        <v>7653438.7532329308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-2076680.5619915482</v>
      </c>
      <c r="G14" s="86">
        <f t="shared" si="0"/>
        <v>-1741179.5972844204</v>
      </c>
      <c r="H14" s="86">
        <f t="shared" si="0"/>
        <v>-1449429.5343715921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182</v>
      </c>
      <c r="E16" s="11"/>
      <c r="F16" s="166">
        <f>LN(F10/F12)</f>
        <v>-0.34709538811768975</v>
      </c>
      <c r="G16" s="166">
        <f t="shared" ref="G16:H16" si="2">LN(G10/G12)</f>
        <v>-0.27023047655106414</v>
      </c>
      <c r="H16" s="166">
        <f t="shared" si="2"/>
        <v>-0.20995932579788801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7"/>
      <c r="G17" s="167"/>
      <c r="H17" s="167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179</v>
      </c>
      <c r="F18" s="168"/>
      <c r="G18" s="168"/>
      <c r="H18" s="168">
        <f>AVERAGE(F16:H16)</f>
        <v>-0.27576173015554728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180</v>
      </c>
      <c r="F22" s="148">
        <f>IF(F16&lt;-0.25,1,IF(F16&lt;-0.1,2,IF(F16&lt;0.1,3,IF(F16&lt;0.25,4,5))))</f>
        <v>1</v>
      </c>
      <c r="G22" s="148">
        <f t="shared" ref="G22" si="5">IF(G16&lt;-0.25,1,IF(G16&lt;-0.1,2,IF(G16&lt;0.1,3,IF(G16&lt;0.25,4,5))))</f>
        <v>1</v>
      </c>
      <c r="H22" s="148">
        <f>IF($H$16&lt;-0.25,1,IF($H$16&lt;-0.1,2,IF($H$16&lt;0.1,3,IF($H$16&lt;0.25,4,5))))</f>
        <v>2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Bruce Bacon</cp:lastModifiedBy>
  <cp:lastPrinted>2016-07-25T18:30:34Z</cp:lastPrinted>
  <dcterms:created xsi:type="dcterms:W3CDTF">2016-07-20T15:58:10Z</dcterms:created>
  <dcterms:modified xsi:type="dcterms:W3CDTF">2016-10-19T18:10:41Z</dcterms:modified>
</cp:coreProperties>
</file>